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0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eremyouellet/Desktop/"/>
    </mc:Choice>
  </mc:AlternateContent>
  <bookViews>
    <workbookView xWindow="0" yWindow="440" windowWidth="15600" windowHeight="11760" xr2:uid="{00000000-000D-0000-FFFF-FFFF00000000}"/>
  </bookViews>
  <sheets>
    <sheet name="Q&amp;A P2" sheetId="8" r:id="rId1"/>
  </sheets>
  <definedNames>
    <definedName name="_xlnm.Print_Area" localSheetId="0">'Q&amp;A P2'!$B$1:$H$35</definedName>
  </definedNames>
  <calcPr calcId="171027"/>
</workbook>
</file>

<file path=xl/calcChain.xml><?xml version="1.0" encoding="utf-8"?>
<calcChain xmlns="http://schemas.openxmlformats.org/spreadsheetml/2006/main">
  <c r="D33" i="8" l="1"/>
  <c r="D32" i="8"/>
  <c r="D31" i="8"/>
  <c r="D30" i="8"/>
  <c r="D29" i="8"/>
  <c r="D28" i="8"/>
  <c r="D26" i="8"/>
  <c r="D24" i="8"/>
  <c r="D23" i="8"/>
  <c r="D21" i="8"/>
  <c r="D20" i="8"/>
  <c r="D19" i="8"/>
  <c r="H6" i="8"/>
  <c r="G6" i="8"/>
  <c r="H5" i="8"/>
  <c r="G5" i="8"/>
  <c r="H4" i="8"/>
  <c r="G4" i="8"/>
  <c r="G3" i="8"/>
  <c r="D16" i="8"/>
  <c r="D8" i="8"/>
  <c r="H3" i="8"/>
  <c r="D15" i="8" l="1"/>
  <c r="D14" i="8"/>
  <c r="E12" i="8" l="1"/>
  <c r="E13" i="8" s="1"/>
  <c r="E14" i="8" s="1"/>
  <c r="E15" i="8" l="1"/>
  <c r="E16" i="8" s="1"/>
  <c r="E17" i="8" l="1"/>
  <c r="E19" i="8" l="1"/>
  <c r="E20" i="8" s="1"/>
  <c r="E21" i="8" s="1"/>
  <c r="E23" i="8" s="1"/>
  <c r="E24" i="8" s="1"/>
  <c r="E26" i="8" s="1"/>
  <c r="E28" i="8" s="1"/>
  <c r="E29" i="8" s="1"/>
  <c r="E30" i="8" s="1"/>
  <c r="E32" i="8" s="1"/>
  <c r="E33" i="8" s="1"/>
</calcChain>
</file>

<file path=xl/sharedStrings.xml><?xml version="1.0" encoding="utf-8"?>
<sst xmlns="http://schemas.openxmlformats.org/spreadsheetml/2006/main" count="61" uniqueCount="55">
  <si>
    <t>Net Initial Investment</t>
  </si>
  <si>
    <t>Cumulative</t>
  </si>
  <si>
    <t>Details of Calculations</t>
  </si>
  <si>
    <t>Investment and Annual Revenues/Costs</t>
  </si>
  <si>
    <t>Year 1</t>
  </si>
  <si>
    <t>Year 2</t>
  </si>
  <si>
    <t>Year 3</t>
  </si>
  <si>
    <t>Year 4</t>
  </si>
  <si>
    <t>**assumed last asset in class pool</t>
  </si>
  <si>
    <t>non-cash tax expense</t>
  </si>
  <si>
    <t xml:space="preserve">Year </t>
  </si>
  <si>
    <t>Sales Units</t>
  </si>
  <si>
    <t>Sales Price per Unit</t>
  </si>
  <si>
    <t>Old Cost Per Unit</t>
  </si>
  <si>
    <t>New Cost Per Unit</t>
  </si>
  <si>
    <t>New CM  (production above 100,000 units)</t>
  </si>
  <si>
    <t>Cost Savings (production up to 100,000 units)</t>
  </si>
  <si>
    <t>Initial Investment – New Sewing Machine</t>
  </si>
  <si>
    <t>Disposal of old sewing machine</t>
  </si>
  <si>
    <t>$260,000</t>
  </si>
  <si>
    <t>Tax shield reversal on old sewing machine</t>
  </si>
  <si>
    <t>Tax Shield on New Sewing Machine</t>
  </si>
  <si>
    <t>Year 1 Training Costs</t>
  </si>
  <si>
    <t>Year 1-4</t>
  </si>
  <si>
    <t>Year 1-4  Net Cost Savings - production of &lt;=100,000 units  (after tax of 44%)</t>
  </si>
  <si>
    <t xml:space="preserve">(367,353*.3*.44)  / (.09+.30)) </t>
  </si>
  <si>
    <t>Year 1 New CM - production of &gt;100,000 units  (after tax of 44%)</t>
  </si>
  <si>
    <t>Year 2 New CM - production of &gt;100,000 units  (after tax of 44%)</t>
  </si>
  <si>
    <t>Year 2 Maintenace Costs</t>
  </si>
  <si>
    <t>Year 3 New CM - production of &gt;100,000 units  (after tax of 44%)</t>
  </si>
  <si>
    <t>Year 4 New CM - production of &gt;100,000 units  (after tax of 44%)</t>
  </si>
  <si>
    <t>Year 4 Maintenace Costs</t>
  </si>
  <si>
    <t>Year 4 Disposal of New Sewing Machine</t>
  </si>
  <si>
    <t>$580,000 * Present Value (4yrs, 9%) 0.708</t>
  </si>
  <si>
    <t>Year 4 - Ending UCC balance calculation of New Sewing Machine</t>
  </si>
  <si>
    <t>$2,500,000*(1-0.3/2)*POWER((1-0.3),3-1)</t>
  </si>
  <si>
    <t>(1,041,250 - 580,000)*0.44*Present Value (4yrs, 9%) 0.708</t>
  </si>
  <si>
    <t>Year 4 Terminal Loss on disposal of New Sewing Machine**</t>
  </si>
  <si>
    <t>Terminal Loss on old sewing machine**</t>
  </si>
  <si>
    <t>(UCC less Disposal Value) *.44</t>
  </si>
  <si>
    <t>UCC calculation of old sewing machine (end of yr 5):</t>
  </si>
  <si>
    <r>
      <t>(1,041,250*.3*.44  /
(.09+.30)) * Present Value (</t>
    </r>
    <r>
      <rPr>
        <u val="singleAccounting"/>
        <sz val="12"/>
        <color rgb="FFFF0000"/>
        <rFont val="Times New Roman"/>
        <family val="1"/>
      </rPr>
      <t>4</t>
    </r>
    <r>
      <rPr>
        <sz val="12"/>
        <color rgb="FFFF0000"/>
        <rFont val="Times New Roman"/>
        <family val="1"/>
      </rPr>
      <t>yrs, 9%</t>
    </r>
    <r>
      <rPr>
        <sz val="12"/>
        <color theme="1"/>
        <rFont val="Times New Roman"/>
        <family val="1"/>
      </rPr>
      <t>) 0.708</t>
    </r>
  </si>
  <si>
    <r>
      <t xml:space="preserve">** Note a PV of </t>
    </r>
    <r>
      <rPr>
        <b/>
        <u/>
        <sz val="12"/>
        <color rgb="FFFF0000"/>
        <rFont val="Times New Roman"/>
        <family val="1"/>
      </rPr>
      <t xml:space="preserve">3 </t>
    </r>
    <r>
      <rPr>
        <b/>
        <sz val="12"/>
        <color rgb="FFFF0000"/>
        <rFont val="Times New Roman"/>
        <family val="1"/>
      </rPr>
      <t xml:space="preserve">yrs, 9% (= 4-1) for the tax shield reversal provides the accurate value for the </t>
    </r>
    <r>
      <rPr>
        <b/>
        <u/>
        <sz val="12"/>
        <color rgb="FFFF0000"/>
        <rFont val="Times New Roman"/>
        <family val="1"/>
      </rPr>
      <t>annual discounted CCA payments</t>
    </r>
    <r>
      <rPr>
        <b/>
        <sz val="12"/>
        <color rgb="FFFF0000"/>
        <rFont val="Times New Roman"/>
        <family val="1"/>
      </rPr>
      <t xml:space="preserve"> related to the Opportunity Cost lost on the disposal; The 3 years matches the timing of the asset's computed ending UCC balance.  BOTH ANSWERS (PV of </t>
    </r>
    <r>
      <rPr>
        <b/>
        <u/>
        <sz val="12"/>
        <color rgb="FFFF0000"/>
        <rFont val="Times New Roman"/>
        <family val="1"/>
      </rPr>
      <t>4</t>
    </r>
    <r>
      <rPr>
        <b/>
        <sz val="12"/>
        <color rgb="FFFF0000"/>
        <rFont val="Times New Roman"/>
        <family val="1"/>
      </rPr>
      <t xml:space="preserve"> years or PV of </t>
    </r>
    <r>
      <rPr>
        <b/>
        <u/>
        <sz val="12"/>
        <color rgb="FFFF0000"/>
        <rFont val="Times New Roman"/>
        <family val="1"/>
      </rPr>
      <t>3</t>
    </r>
    <r>
      <rPr>
        <b/>
        <sz val="12"/>
        <color rgb="FFFF0000"/>
        <rFont val="Times New Roman"/>
        <family val="1"/>
      </rPr>
      <t xml:space="preserve"> years) ARE ACCEPTABLE FOR THIS COURSE.</t>
    </r>
  </si>
  <si>
    <r>
      <rPr>
        <b/>
        <sz val="12"/>
        <color rgb="FFFF0000"/>
        <rFont val="Times New Roman"/>
        <family val="1"/>
      </rPr>
      <t xml:space="preserve">Year </t>
    </r>
    <r>
      <rPr>
        <b/>
        <u/>
        <sz val="12"/>
        <color rgb="FFFF0000"/>
        <rFont val="Times New Roman"/>
        <family val="1"/>
      </rPr>
      <t xml:space="preserve">4 </t>
    </r>
    <r>
      <rPr>
        <b/>
        <sz val="12"/>
        <color theme="1"/>
        <rFont val="Times New Roman"/>
        <family val="1"/>
      </rPr>
      <t>Tax shield reversal of New Sewing Machine</t>
    </r>
    <r>
      <rPr>
        <b/>
        <sz val="12"/>
        <color rgb="FFFF0000"/>
        <rFont val="Times New Roman"/>
        <family val="1"/>
      </rPr>
      <t>**</t>
    </r>
  </si>
  <si>
    <t>Question 2 - NPV Analysis with Tax Impact</t>
  </si>
  <si>
    <t>2500000*.3*.44*(1+.09/2) /
((1+.09)* (.09+.30))</t>
  </si>
  <si>
    <t>85,000 *(1 - 0.44)* PV (1 yrs, 9%) 0.91743</t>
  </si>
  <si>
    <t>1,000,000 *(1- 0.44) *Annuity (4 yrs, 9%) 3.240</t>
  </si>
  <si>
    <t>20,000*$50 *(1- 0.44) *PV (1 yrs, 9%) 0.91743</t>
  </si>
  <si>
    <t>40,000*$50*(1- 0.44) *PV (2 yrs, 9%) 0.842</t>
  </si>
  <si>
    <t>200,000 *(1- 0.44)* PV (2 yrs, 9%) 0.842</t>
  </si>
  <si>
    <t>50,000*$50 *(1- 0.44) *PV (3 yrs, 9%) 0.772</t>
  </si>
  <si>
    <t>50,000*$50 *(1- 0.44) *PV (4 yrs, 9%) 0.708</t>
  </si>
  <si>
    <t>200,000 *(1 - 0.44)* PV (4 yrs, 9%) 0.708</t>
  </si>
  <si>
    <r>
      <rPr>
        <b/>
        <u/>
        <sz val="12"/>
        <color theme="1"/>
        <rFont val="Calibri"/>
        <family val="2"/>
        <scheme val="minor"/>
      </rPr>
      <t xml:space="preserve">Question and Answer - Extra Problem 2 - NPV and CM
</t>
    </r>
    <r>
      <rPr>
        <sz val="12"/>
        <color theme="1"/>
        <rFont val="Calibri"/>
        <family val="2"/>
        <scheme val="minor"/>
      </rPr>
      <t xml:space="preserve">Vorteck Inc manufactures snowsuits.  Vorteck is considering purchasing a new sewing machine at a cost of $2.5M. Its existing machine was purchased six years ago at a price of $1.8M and can produce maximum 100,000 units.  The existing sewing machine can be sold today for $260,000.  The new sewing machine would require a one-time $85,000 training cost in year 1.  Sales and Operating Costs would change based on the following table from years 1 to 4.  The new sewing machine would be depreciated using the straight line method and for tax purposes it has a CCA rate of 30%.  The new sewing machine's salvage value at the end of year 4 is expected to be $580,000.  The new equipment would also require maintenance costs of $200,000 during year 2 and year 4.  The cost of capital is 9%.  Using the NPV method, determine if Vorteck Inc should acquire the new sewing machine to replace its current old sewing machine.   Assume the tax rate is 44%.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</si>
</sst>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* #,##0_-;\-* #,##0_-;_-* &quot;-&quot;??_-;_-@_-"/>
    <numFmt numFmtId="167" formatCode="_-&quot;$&quot;* #,##0_-;\-&quot;$&quot;* #,##0_-;_-&quot;$&quot;* &quot;-&quot;??_-;_-@_-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u val="singleAccounting"/>
      <sz val="12"/>
      <color rgb="FFFF0000"/>
      <name val="Times New Roman"/>
      <family val="1"/>
    </font>
    <font>
      <b/>
      <i/>
      <sz val="12"/>
      <name val="Times New Roman"/>
      <family val="1"/>
    </font>
    <font>
      <b/>
      <i/>
      <sz val="1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58">
    <xf numFmtId="0" fontId="0" fillId="0" borderId="0" xfId="0"/>
    <xf numFmtId="3" fontId="3" fillId="0" borderId="1" xfId="0" applyNumberFormat="1" applyFont="1" applyBorder="1" applyAlignment="1">
      <alignment horizontal="right" vertical="top" wrapText="1"/>
    </xf>
    <xf numFmtId="3" fontId="3" fillId="0" borderId="1" xfId="0" applyNumberFormat="1" applyFont="1" applyBorder="1" applyAlignment="1">
      <alignment vertical="top" wrapText="1"/>
    </xf>
    <xf numFmtId="0" fontId="0" fillId="0" borderId="0" xfId="0" applyFont="1" applyAlignment="1">
      <alignment horizontal="center"/>
    </xf>
    <xf numFmtId="166" fontId="3" fillId="3" borderId="1" xfId="1" applyNumberFormat="1" applyFont="1" applyFill="1" applyBorder="1" applyAlignment="1">
      <alignment vertical="top" wrapText="1"/>
    </xf>
    <xf numFmtId="3" fontId="3" fillId="0" borderId="2" xfId="0" applyNumberFormat="1" applyFont="1" applyBorder="1" applyAlignment="1">
      <alignment horizontal="right" vertical="top" wrapText="1"/>
    </xf>
    <xf numFmtId="3" fontId="3" fillId="0" borderId="1" xfId="0" applyNumberFormat="1" applyFont="1" applyFill="1" applyBorder="1" applyAlignment="1">
      <alignment horizontal="right" vertical="top" wrapText="1"/>
    </xf>
    <xf numFmtId="0" fontId="4" fillId="0" borderId="3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4" fillId="3" borderId="4" xfId="0" applyFont="1" applyFill="1" applyBorder="1" applyAlignment="1">
      <alignment vertical="top" wrapText="1"/>
    </xf>
    <xf numFmtId="3" fontId="7" fillId="0" borderId="2" xfId="0" applyNumberFormat="1" applyFont="1" applyBorder="1" applyAlignment="1">
      <alignment horizontal="right" vertical="top" wrapText="1"/>
    </xf>
    <xf numFmtId="0" fontId="4" fillId="3" borderId="2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4" fillId="0" borderId="0" xfId="0" applyFont="1"/>
    <xf numFmtId="0" fontId="4" fillId="0" borderId="0" xfId="0" applyFont="1" applyFill="1" applyBorder="1" applyAlignment="1">
      <alignment vertical="top" wrapText="1"/>
    </xf>
    <xf numFmtId="166" fontId="3" fillId="0" borderId="0" xfId="1" applyNumberFormat="1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0" fontId="5" fillId="0" borderId="0" xfId="0" applyFont="1" applyFill="1"/>
    <xf numFmtId="0" fontId="0" fillId="0" borderId="0" xfId="0" applyFill="1"/>
    <xf numFmtId="166" fontId="3" fillId="0" borderId="1" xfId="1" quotePrefix="1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3" fontId="3" fillId="0" borderId="2" xfId="0" applyNumberFormat="1" applyFont="1" applyFill="1" applyBorder="1" applyAlignment="1">
      <alignment horizontal="right" vertical="top" wrapText="1"/>
    </xf>
    <xf numFmtId="167" fontId="0" fillId="0" borderId="0" xfId="2" applyNumberFormat="1" applyFont="1"/>
    <xf numFmtId="3" fontId="4" fillId="0" borderId="1" xfId="0" applyNumberFormat="1" applyFont="1" applyFill="1" applyBorder="1" applyAlignment="1">
      <alignment horizontal="right" vertical="top" wrapText="1"/>
    </xf>
    <xf numFmtId="0" fontId="4" fillId="0" borderId="6" xfId="0" applyFont="1" applyBorder="1" applyAlignment="1">
      <alignment vertical="top" wrapText="1"/>
    </xf>
    <xf numFmtId="3" fontId="3" fillId="0" borderId="7" xfId="0" applyNumberFormat="1" applyFont="1" applyBorder="1" applyAlignment="1">
      <alignment horizontal="right" vertical="top" wrapText="1"/>
    </xf>
    <xf numFmtId="0" fontId="6" fillId="2" borderId="8" xfId="0" applyFont="1" applyFill="1" applyBorder="1" applyAlignment="1">
      <alignment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horizontal="center" vertical="top" wrapText="1"/>
    </xf>
    <xf numFmtId="166" fontId="3" fillId="0" borderId="5" xfId="1" applyNumberFormat="1" applyFont="1" applyFill="1" applyBorder="1" applyAlignment="1">
      <alignment vertical="top" wrapText="1"/>
    </xf>
    <xf numFmtId="3" fontId="3" fillId="0" borderId="5" xfId="0" applyNumberFormat="1" applyFont="1" applyBorder="1" applyAlignment="1">
      <alignment horizontal="right" vertical="top" wrapText="1"/>
    </xf>
    <xf numFmtId="0" fontId="4" fillId="0" borderId="9" xfId="0" applyFont="1" applyFill="1" applyBorder="1" applyAlignment="1">
      <alignment vertical="top" wrapText="1"/>
    </xf>
    <xf numFmtId="0" fontId="3" fillId="0" borderId="1" xfId="0" quotePrefix="1" applyFont="1" applyFill="1" applyBorder="1" applyAlignment="1">
      <alignment horizontal="right" vertical="top" wrapText="1"/>
    </xf>
    <xf numFmtId="167" fontId="3" fillId="0" borderId="1" xfId="2" quotePrefix="1" applyNumberFormat="1" applyFont="1" applyFill="1" applyBorder="1" applyAlignment="1">
      <alignment vertical="top" wrapText="1"/>
    </xf>
    <xf numFmtId="167" fontId="3" fillId="0" borderId="1" xfId="2" applyNumberFormat="1" applyFont="1" applyFill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9" fillId="0" borderId="0" xfId="0" applyFont="1"/>
    <xf numFmtId="0" fontId="10" fillId="0" borderId="0" xfId="0" applyFont="1" applyFill="1" applyAlignment="1">
      <alignment horizontal="left"/>
    </xf>
    <xf numFmtId="0" fontId="0" fillId="3" borderId="1" xfId="0" applyFill="1" applyBorder="1" applyAlignment="1">
      <alignment horizontal="left" wrapText="1"/>
    </xf>
    <xf numFmtId="166" fontId="0" fillId="0" borderId="1" xfId="1" applyNumberFormat="1" applyFont="1" applyBorder="1" applyAlignment="1">
      <alignment horizontal="left" wrapText="1"/>
    </xf>
    <xf numFmtId="167" fontId="0" fillId="0" borderId="1" xfId="2" applyNumberFormat="1" applyFont="1" applyBorder="1" applyAlignment="1">
      <alignment horizontal="left" wrapText="1"/>
    </xf>
    <xf numFmtId="167" fontId="0" fillId="0" borderId="1" xfId="0" applyNumberFormat="1" applyBorder="1"/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0" fillId="0" borderId="0" xfId="0" applyBorder="1"/>
    <xf numFmtId="0" fontId="0" fillId="0" borderId="3" xfId="0" applyBorder="1"/>
    <xf numFmtId="3" fontId="3" fillId="4" borderId="1" xfId="0" applyNumberFormat="1" applyFont="1" applyFill="1" applyBorder="1" applyAlignment="1">
      <alignment horizontal="right" vertical="top" wrapText="1"/>
    </xf>
    <xf numFmtId="167" fontId="18" fillId="0" borderId="1" xfId="2" applyNumberFormat="1" applyFont="1" applyFill="1" applyBorder="1" applyAlignment="1">
      <alignment vertical="top" wrapText="1"/>
    </xf>
    <xf numFmtId="0" fontId="19" fillId="0" borderId="1" xfId="0" applyFont="1" applyBorder="1" applyAlignment="1">
      <alignment horizontal="right"/>
    </xf>
    <xf numFmtId="0" fontId="15" fillId="0" borderId="3" xfId="0" applyFont="1" applyBorder="1" applyAlignment="1">
      <alignment vertical="top" wrapText="1"/>
    </xf>
    <xf numFmtId="166" fontId="20" fillId="0" borderId="1" xfId="1" quotePrefix="1" applyNumberFormat="1" applyFont="1" applyFill="1" applyBorder="1" applyAlignment="1">
      <alignment vertical="top" wrapText="1"/>
    </xf>
    <xf numFmtId="0" fontId="11" fillId="0" borderId="6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3" fillId="0" borderId="0" xfId="0" applyFont="1" applyFill="1" applyBorder="1" applyAlignment="1">
      <alignment horizontal="left" vertical="top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tabSelected="1" zoomScale="110" zoomScaleNormal="110" workbookViewId="0">
      <selection sqref="A1:XFD1"/>
    </sheetView>
  </sheetViews>
  <sheetFormatPr baseColWidth="10" defaultColWidth="8.83203125" defaultRowHeight="15" x14ac:dyDescent="0.2"/>
  <cols>
    <col min="1" max="1" width="7.5" customWidth="1"/>
    <col min="2" max="2" width="47.6640625" customWidth="1"/>
    <col min="3" max="3" width="38.5" style="3" customWidth="1"/>
    <col min="4" max="4" width="24.5" customWidth="1"/>
    <col min="5" max="5" width="17.1640625" customWidth="1"/>
    <col min="6" max="6" width="20" customWidth="1"/>
    <col min="7" max="7" width="18" customWidth="1"/>
    <col min="8" max="8" width="15.5" customWidth="1"/>
  </cols>
  <sheetData>
    <row r="1" spans="2:8" ht="156" customHeight="1" x14ac:dyDescent="0.2">
      <c r="B1" s="55" t="s">
        <v>54</v>
      </c>
      <c r="C1" s="56"/>
      <c r="D1" s="56"/>
      <c r="E1" s="56"/>
      <c r="F1" s="56"/>
      <c r="G1" s="56"/>
      <c r="H1" s="56"/>
    </row>
    <row r="2" spans="2:8" ht="45" customHeight="1" x14ac:dyDescent="0.2">
      <c r="B2" s="44" t="s">
        <v>10</v>
      </c>
      <c r="C2" s="40" t="s">
        <v>11</v>
      </c>
      <c r="D2" s="40" t="s">
        <v>12</v>
      </c>
      <c r="E2" s="40" t="s">
        <v>13</v>
      </c>
      <c r="F2" s="40" t="s">
        <v>14</v>
      </c>
      <c r="G2" s="40" t="s">
        <v>16</v>
      </c>
      <c r="H2" s="40" t="s">
        <v>15</v>
      </c>
    </row>
    <row r="3" spans="2:8" ht="27.75" customHeight="1" x14ac:dyDescent="0.2">
      <c r="B3" s="45">
        <v>1</v>
      </c>
      <c r="C3" s="41">
        <v>120000</v>
      </c>
      <c r="D3" s="42">
        <v>80</v>
      </c>
      <c r="E3" s="42">
        <v>40</v>
      </c>
      <c r="F3" s="42">
        <v>30</v>
      </c>
      <c r="G3" s="43">
        <f>(E3-F3)*100000</f>
        <v>1000000</v>
      </c>
      <c r="H3" s="43">
        <f>($C3-100000)*($D3-$F3)</f>
        <v>1000000</v>
      </c>
    </row>
    <row r="4" spans="2:8" ht="20.25" customHeight="1" x14ac:dyDescent="0.2">
      <c r="B4" s="45">
        <v>2</v>
      </c>
      <c r="C4" s="41">
        <v>140000</v>
      </c>
      <c r="D4" s="42">
        <v>80</v>
      </c>
      <c r="E4" s="42">
        <v>40</v>
      </c>
      <c r="F4" s="42">
        <v>30</v>
      </c>
      <c r="G4" s="43">
        <f>(E4-F4)*100000</f>
        <v>1000000</v>
      </c>
      <c r="H4" s="43">
        <f>($C4-100000)*($D4-$F4)</f>
        <v>2000000</v>
      </c>
    </row>
    <row r="5" spans="2:8" ht="20.25" customHeight="1" x14ac:dyDescent="0.2">
      <c r="B5" s="45">
        <v>3</v>
      </c>
      <c r="C5" s="41">
        <v>150000</v>
      </c>
      <c r="D5" s="42">
        <v>80</v>
      </c>
      <c r="E5" s="42">
        <v>40</v>
      </c>
      <c r="F5" s="42">
        <v>30</v>
      </c>
      <c r="G5" s="43">
        <f t="shared" ref="G5:G6" si="0">(E5-F5)*100000</f>
        <v>1000000</v>
      </c>
      <c r="H5" s="43">
        <f t="shared" ref="H5:H6" si="1">($C5-100000)*($D5-$F5)</f>
        <v>2500000</v>
      </c>
    </row>
    <row r="6" spans="2:8" ht="20.25" customHeight="1" x14ac:dyDescent="0.2">
      <c r="B6" s="45">
        <v>4</v>
      </c>
      <c r="C6" s="41">
        <v>150000</v>
      </c>
      <c r="D6" s="42">
        <v>80</v>
      </c>
      <c r="E6" s="42">
        <v>40</v>
      </c>
      <c r="F6" s="42">
        <v>30</v>
      </c>
      <c r="G6" s="43">
        <f t="shared" si="0"/>
        <v>1000000</v>
      </c>
      <c r="H6" s="43">
        <f t="shared" si="1"/>
        <v>2500000</v>
      </c>
    </row>
    <row r="7" spans="2:8" ht="10.5" customHeight="1" x14ac:dyDescent="0.2">
      <c r="B7" s="46"/>
      <c r="C7" s="47"/>
      <c r="D7" s="47"/>
      <c r="E7" s="47"/>
      <c r="F7" s="47"/>
      <c r="G7" s="48"/>
      <c r="H7" s="48"/>
    </row>
    <row r="8" spans="2:8" ht="16" x14ac:dyDescent="0.2">
      <c r="B8" s="49"/>
      <c r="C8" s="52" t="s">
        <v>40</v>
      </c>
      <c r="D8" s="51">
        <f>1800000*(1-0.3/2)*POWER((1-0.3),5-1)</f>
        <v>367352.99999999988</v>
      </c>
      <c r="E8" s="38"/>
    </row>
    <row r="9" spans="2:8" ht="16" x14ac:dyDescent="0.2">
      <c r="B9" s="17" t="s">
        <v>44</v>
      </c>
      <c r="C9" s="39"/>
      <c r="D9" s="18"/>
      <c r="E9" s="18"/>
    </row>
    <row r="10" spans="2:8" ht="6.75" customHeight="1" thickBot="1" x14ac:dyDescent="0.25">
      <c r="B10" s="13"/>
    </row>
    <row r="11" spans="2:8" ht="33" thickBot="1" x14ac:dyDescent="0.25">
      <c r="B11" s="26"/>
      <c r="C11" s="31" t="s">
        <v>2</v>
      </c>
      <c r="D11" s="27" t="s">
        <v>3</v>
      </c>
      <c r="E11" s="28" t="s">
        <v>1</v>
      </c>
    </row>
    <row r="12" spans="2:8" ht="16" x14ac:dyDescent="0.2">
      <c r="B12" s="24" t="s">
        <v>17</v>
      </c>
      <c r="C12" s="29"/>
      <c r="D12" s="25">
        <v>-2500000</v>
      </c>
      <c r="E12" s="30">
        <f>D12</f>
        <v>-2500000</v>
      </c>
    </row>
    <row r="13" spans="2:8" ht="16" x14ac:dyDescent="0.2">
      <c r="B13" s="53" t="s">
        <v>18</v>
      </c>
      <c r="C13" s="54" t="s">
        <v>19</v>
      </c>
      <c r="D13" s="5">
        <v>260000</v>
      </c>
      <c r="E13" s="6">
        <f t="shared" ref="E13:E17" si="2">E12+D13</f>
        <v>-2240000</v>
      </c>
    </row>
    <row r="14" spans="2:8" ht="16" x14ac:dyDescent="0.2">
      <c r="B14" s="53" t="s">
        <v>38</v>
      </c>
      <c r="C14" s="54" t="s">
        <v>39</v>
      </c>
      <c r="D14" s="5">
        <f>(D8-C13)*0.44</f>
        <v>47235.319999999949</v>
      </c>
      <c r="E14" s="6">
        <f t="shared" si="2"/>
        <v>-2192764.6800000002</v>
      </c>
      <c r="F14" t="s">
        <v>9</v>
      </c>
    </row>
    <row r="15" spans="2:8" ht="16" x14ac:dyDescent="0.2">
      <c r="B15" s="53" t="s">
        <v>20</v>
      </c>
      <c r="C15" s="54" t="s">
        <v>25</v>
      </c>
      <c r="D15" s="6">
        <f>-((D8*0.3*0.44) /(0.09+0.3))</f>
        <v>-124334.8615384615</v>
      </c>
      <c r="E15" s="6">
        <f t="shared" si="2"/>
        <v>-2317099.5415384616</v>
      </c>
    </row>
    <row r="16" spans="2:8" ht="32" x14ac:dyDescent="0.2">
      <c r="B16" s="7" t="s">
        <v>21</v>
      </c>
      <c r="C16" s="19" t="s">
        <v>45</v>
      </c>
      <c r="D16" s="19">
        <f>(2500000*0.3*0.44*(1+0.09/2)) /((1+0.09)*(0.09+0.3))</f>
        <v>811220.88920254051</v>
      </c>
      <c r="E16" s="6">
        <f t="shared" si="2"/>
        <v>-1505878.6523359211</v>
      </c>
    </row>
    <row r="17" spans="1:5" ht="16" x14ac:dyDescent="0.2">
      <c r="B17" s="8" t="s">
        <v>0</v>
      </c>
      <c r="C17" s="16"/>
      <c r="D17" s="10"/>
      <c r="E17" s="1">
        <f t="shared" si="2"/>
        <v>-1505878.6523359211</v>
      </c>
    </row>
    <row r="18" spans="1:5" ht="8.25" customHeight="1" x14ac:dyDescent="0.2">
      <c r="B18" s="9"/>
      <c r="C18" s="12"/>
      <c r="D18" s="11"/>
      <c r="E18" s="4"/>
    </row>
    <row r="19" spans="1:5" ht="16" x14ac:dyDescent="0.2">
      <c r="A19" t="s">
        <v>4</v>
      </c>
      <c r="B19" s="35" t="s">
        <v>22</v>
      </c>
      <c r="C19" s="32" t="s">
        <v>46</v>
      </c>
      <c r="D19" s="5">
        <f>-85000*0.56*0.91743</f>
        <v>-43669.668000000005</v>
      </c>
      <c r="E19" s="1">
        <f>E17+D19</f>
        <v>-1549548.3203359211</v>
      </c>
    </row>
    <row r="20" spans="1:5" ht="32" x14ac:dyDescent="0.2">
      <c r="A20" t="s">
        <v>23</v>
      </c>
      <c r="B20" s="35" t="s">
        <v>24</v>
      </c>
      <c r="C20" s="32" t="s">
        <v>47</v>
      </c>
      <c r="D20" s="5">
        <f>1000000*0.56*3.24</f>
        <v>1814400.0000000002</v>
      </c>
      <c r="E20" s="1">
        <f>E19+D20</f>
        <v>264851.6796640791</v>
      </c>
    </row>
    <row r="21" spans="1:5" ht="32" x14ac:dyDescent="0.2">
      <c r="A21" t="s">
        <v>4</v>
      </c>
      <c r="B21" s="35" t="s">
        <v>26</v>
      </c>
      <c r="C21" s="32" t="s">
        <v>48</v>
      </c>
      <c r="D21" s="5">
        <f>20000*50*0.56*0.91743</f>
        <v>513760.8</v>
      </c>
      <c r="E21" s="1">
        <f>E20+D21</f>
        <v>778612.47966407915</v>
      </c>
    </row>
    <row r="22" spans="1:5" ht="8.25" customHeight="1" x14ac:dyDescent="0.2">
      <c r="B22" s="9"/>
      <c r="C22" s="12"/>
      <c r="D22" s="11"/>
      <c r="E22" s="4"/>
    </row>
    <row r="23" spans="1:5" ht="32" x14ac:dyDescent="0.2">
      <c r="A23" t="s">
        <v>5</v>
      </c>
      <c r="B23" s="35" t="s">
        <v>27</v>
      </c>
      <c r="C23" s="32" t="s">
        <v>49</v>
      </c>
      <c r="D23" s="5">
        <f>40000*50*0.56*0.842</f>
        <v>943040</v>
      </c>
      <c r="E23" s="1">
        <f>E21+D23</f>
        <v>1721652.4796640791</v>
      </c>
    </row>
    <row r="24" spans="1:5" ht="16" x14ac:dyDescent="0.2">
      <c r="A24" t="s">
        <v>5</v>
      </c>
      <c r="B24" s="35" t="s">
        <v>28</v>
      </c>
      <c r="C24" s="32" t="s">
        <v>50</v>
      </c>
      <c r="D24" s="5">
        <f>-200000*0.56*0.842</f>
        <v>-94304.000000000015</v>
      </c>
      <c r="E24" s="1">
        <f>E23+D24</f>
        <v>1627348.4796640791</v>
      </c>
    </row>
    <row r="25" spans="1:5" ht="8.25" customHeight="1" x14ac:dyDescent="0.2">
      <c r="B25" s="9"/>
      <c r="C25" s="12"/>
      <c r="D25" s="11"/>
      <c r="E25" s="4"/>
    </row>
    <row r="26" spans="1:5" ht="32" x14ac:dyDescent="0.2">
      <c r="A26" t="s">
        <v>6</v>
      </c>
      <c r="B26" s="35" t="s">
        <v>29</v>
      </c>
      <c r="C26" s="32" t="s">
        <v>51</v>
      </c>
      <c r="D26" s="5">
        <f>50000*50*0.56*0.772</f>
        <v>1080800.0000000002</v>
      </c>
      <c r="E26" s="1">
        <f>E24+D26</f>
        <v>2708148.4796640794</v>
      </c>
    </row>
    <row r="27" spans="1:5" ht="8.25" customHeight="1" x14ac:dyDescent="0.2">
      <c r="B27" s="9"/>
      <c r="C27" s="12"/>
      <c r="D27" s="11"/>
      <c r="E27" s="4"/>
    </row>
    <row r="28" spans="1:5" ht="32" x14ac:dyDescent="0.2">
      <c r="A28" t="s">
        <v>7</v>
      </c>
      <c r="B28" s="35" t="s">
        <v>30</v>
      </c>
      <c r="C28" s="32" t="s">
        <v>52</v>
      </c>
      <c r="D28" s="5">
        <f>50000*50*0.56*0.708</f>
        <v>991200.00000000012</v>
      </c>
      <c r="E28" s="1">
        <f>E26+D28</f>
        <v>3699348.4796640794</v>
      </c>
    </row>
    <row r="29" spans="1:5" ht="16" x14ac:dyDescent="0.2">
      <c r="A29" t="s">
        <v>7</v>
      </c>
      <c r="B29" s="35" t="s">
        <v>31</v>
      </c>
      <c r="C29" s="32" t="s">
        <v>53</v>
      </c>
      <c r="D29" s="5">
        <f>-200000*0.56*0.708</f>
        <v>-79296</v>
      </c>
      <c r="E29" s="1">
        <f>E28+D29</f>
        <v>3620052.4796640794</v>
      </c>
    </row>
    <row r="30" spans="1:5" ht="30.75" customHeight="1" x14ac:dyDescent="0.2">
      <c r="A30" t="s">
        <v>7</v>
      </c>
      <c r="B30" s="36" t="s">
        <v>32</v>
      </c>
      <c r="C30" s="20" t="s">
        <v>33</v>
      </c>
      <c r="D30" s="21">
        <f>580000*0.708</f>
        <v>410640</v>
      </c>
      <c r="E30" s="1">
        <f>E29+D30</f>
        <v>4030692.4796640794</v>
      </c>
    </row>
    <row r="31" spans="1:5" ht="33.75" customHeight="1" x14ac:dyDescent="0.2">
      <c r="A31" t="s">
        <v>7</v>
      </c>
      <c r="B31" s="37" t="s">
        <v>34</v>
      </c>
      <c r="C31" s="33" t="s">
        <v>35</v>
      </c>
      <c r="D31" s="34">
        <f>2500000*(1-0.3/2)*POWER((1-0.3),3-1)</f>
        <v>1041249.9999999999</v>
      </c>
      <c r="E31" s="50"/>
    </row>
    <row r="32" spans="1:5" ht="32" x14ac:dyDescent="0.2">
      <c r="B32" s="35" t="s">
        <v>43</v>
      </c>
      <c r="C32" s="19" t="s">
        <v>41</v>
      </c>
      <c r="D32" s="6">
        <f>-((1041250*0.3*0.44) /(0.09+0.3))*0.708</f>
        <v>-249515.53846153847</v>
      </c>
      <c r="E32" s="2">
        <f>E30+D32</f>
        <v>3781176.9412025409</v>
      </c>
    </row>
    <row r="33" spans="2:6" ht="32" x14ac:dyDescent="0.2">
      <c r="B33" s="35" t="s">
        <v>37</v>
      </c>
      <c r="C33" s="19" t="s">
        <v>36</v>
      </c>
      <c r="D33" s="6">
        <f>(1041250-580000)*0.44*0.708</f>
        <v>143688.6</v>
      </c>
      <c r="E33" s="23">
        <f>E32+D33</f>
        <v>3924865.541202541</v>
      </c>
      <c r="F33" t="s">
        <v>9</v>
      </c>
    </row>
    <row r="34" spans="2:6" ht="21.75" customHeight="1" x14ac:dyDescent="0.2">
      <c r="B34" t="s">
        <v>8</v>
      </c>
      <c r="C34" s="14"/>
      <c r="D34" s="14"/>
      <c r="E34" s="15"/>
    </row>
    <row r="35" spans="2:6" ht="52.5" customHeight="1" x14ac:dyDescent="0.2">
      <c r="B35" s="57" t="s">
        <v>42</v>
      </c>
      <c r="C35" s="57"/>
      <c r="D35" s="57"/>
      <c r="E35" s="57"/>
      <c r="F35" s="57"/>
    </row>
    <row r="36" spans="2:6" ht="59.25" customHeight="1" x14ac:dyDescent="0.2"/>
    <row r="37" spans="2:6" x14ac:dyDescent="0.2">
      <c r="D37" s="3"/>
    </row>
    <row r="38" spans="2:6" x14ac:dyDescent="0.2">
      <c r="D38" s="3"/>
    </row>
    <row r="39" spans="2:6" x14ac:dyDescent="0.2">
      <c r="D39" s="3"/>
    </row>
    <row r="40" spans="2:6" x14ac:dyDescent="0.2">
      <c r="C40" s="22"/>
      <c r="D40" s="3"/>
    </row>
  </sheetData>
  <mergeCells count="2">
    <mergeCell ref="B1:H1"/>
    <mergeCell ref="B35:F35"/>
  </mergeCells>
  <pageMargins left="0.23622047244094491" right="0.2" top="0.31496062992125984" bottom="0.13" header="0.31496062992125984" footer="0.1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Q&amp;A P2</vt:lpstr>
      <vt:lpstr>'Q&amp;A P2'!Print_Area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Lagou-Moreau</dc:creator>
  <cp:lastModifiedBy>Jeremy Ouellet</cp:lastModifiedBy>
  <cp:lastPrinted>2015-03-24T19:21:40Z</cp:lastPrinted>
  <dcterms:created xsi:type="dcterms:W3CDTF">2013-06-28T14:09:05Z</dcterms:created>
  <dcterms:modified xsi:type="dcterms:W3CDTF">2018-10-17T14:51:29Z</dcterms:modified>
</cp:coreProperties>
</file>