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02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jeremyouellet/Desktop/"/>
    </mc:Choice>
  </mc:AlternateContent>
  <bookViews>
    <workbookView xWindow="0" yWindow="440" windowWidth="15600" windowHeight="11760" xr2:uid="{00000000-000D-0000-FFFF-FFFF00000000}"/>
  </bookViews>
  <sheets>
    <sheet name="Q&amp;A P1" sheetId="8" r:id="rId1"/>
  </sheets>
  <definedNames>
    <definedName name="_xlnm.Print_Area" localSheetId="0">'Q&amp;A P1'!$B$2:$G$51</definedName>
  </definedNames>
  <calcPr calcId="171027"/>
</workbook>
</file>

<file path=xl/calcChain.xml><?xml version="1.0" encoding="utf-8"?>
<calcChain xmlns="http://schemas.openxmlformats.org/spreadsheetml/2006/main">
  <c r="D9" i="8" l="1"/>
  <c r="F27" i="8"/>
  <c r="D3" i="8"/>
  <c r="F28" i="8" s="1"/>
  <c r="D26" i="8" l="1"/>
  <c r="D10" i="8"/>
  <c r="D11" i="8"/>
  <c r="F33" i="8" l="1"/>
  <c r="D33" i="8"/>
  <c r="F37" i="8" l="1"/>
  <c r="D37" i="8"/>
  <c r="D16" i="8"/>
  <c r="D12" i="8"/>
  <c r="F43" i="8"/>
  <c r="F39" i="8"/>
  <c r="F35" i="8"/>
  <c r="F31" i="8"/>
  <c r="F32" i="8"/>
  <c r="C32" i="8"/>
  <c r="F36" i="8" s="1"/>
  <c r="G25" i="8"/>
  <c r="G26" i="8" s="1"/>
  <c r="D19" i="8"/>
  <c r="D18" i="8"/>
  <c r="D17" i="8"/>
  <c r="D15" i="8"/>
  <c r="E7" i="8"/>
  <c r="E8" i="8" s="1"/>
  <c r="F41" i="8" l="1"/>
  <c r="D41" i="8"/>
  <c r="G27" i="8"/>
  <c r="G28" i="8" s="1"/>
  <c r="G29" i="8" s="1"/>
  <c r="G31" i="8" s="1"/>
  <c r="G32" i="8" s="1"/>
  <c r="E9" i="8"/>
  <c r="E10" i="8" s="1"/>
  <c r="E11" i="8" s="1"/>
  <c r="E12" i="8" s="1"/>
  <c r="C36" i="8"/>
  <c r="F40" i="8" s="1"/>
  <c r="F47" i="8" l="1"/>
  <c r="D47" i="8"/>
  <c r="G33" i="8"/>
  <c r="G35" i="8" s="1"/>
  <c r="G36" i="8" s="1"/>
  <c r="G37" i="8" s="1"/>
  <c r="G39" i="8" s="1"/>
  <c r="G40" i="8" s="1"/>
  <c r="C40" i="8"/>
  <c r="C44" i="8" s="1"/>
  <c r="F46" i="8" s="1"/>
  <c r="E13" i="8"/>
  <c r="E15" i="8" s="1"/>
  <c r="E16" i="8" s="1"/>
  <c r="E18" i="8" s="1"/>
  <c r="E19" i="8" s="1"/>
  <c r="G41" i="8" l="1"/>
  <c r="G43" i="8" s="1"/>
  <c r="G44" i="8" s="1"/>
  <c r="G45" i="8" s="1"/>
  <c r="G46" i="8" l="1"/>
  <c r="G47" i="8" s="1"/>
</calcChain>
</file>

<file path=xl/sharedStrings.xml><?xml version="1.0" encoding="utf-8"?>
<sst xmlns="http://schemas.openxmlformats.org/spreadsheetml/2006/main" count="87" uniqueCount="71">
  <si>
    <t>Net Initial Investment</t>
  </si>
  <si>
    <t>Cumulative</t>
  </si>
  <si>
    <t xml:space="preserve">Year 2 CCA tax saving </t>
  </si>
  <si>
    <t xml:space="preserve">Year 3 CCA tax saving </t>
  </si>
  <si>
    <t>Details of Calculations</t>
  </si>
  <si>
    <t>Investment and Annual Revenues/Costs</t>
  </si>
  <si>
    <t>CCA taken for year 1</t>
  </si>
  <si>
    <t>CCA taken for year 2</t>
  </si>
  <si>
    <t>CCA taken for year 3</t>
  </si>
  <si>
    <t>Year 0</t>
  </si>
  <si>
    <t>Year 1</t>
  </si>
  <si>
    <t>Year 2</t>
  </si>
  <si>
    <t>Year 3</t>
  </si>
  <si>
    <t>Year 4</t>
  </si>
  <si>
    <t>Year 1 CCA tax saving
(CCA ½ year rule applies)</t>
  </si>
  <si>
    <t>* CCA not allowed year of disposal</t>
  </si>
  <si>
    <t>**assumed last asset in class pool</t>
  </si>
  <si>
    <t>Non-Cash tax saving</t>
  </si>
  <si>
    <t>Year 1-4  Net Savings  (after tax of 44%)</t>
  </si>
  <si>
    <t>Initial Investment – Mechanical Welding System</t>
  </si>
  <si>
    <t>Year 4 Disposal of Mechanical Welding System</t>
  </si>
  <si>
    <t>Year 4 - Ending UCC balance calculation of Mechanical Welding System</t>
  </si>
  <si>
    <t>$600,000*(1-0.3/2)*POWER((1-0.3),3-1)</t>
  </si>
  <si>
    <t>$100,000 * Present Value (4yrs, 15%) 0.572</t>
  </si>
  <si>
    <t>(249,900*.3*.44  /
(.15+.30)) * Present Value (4yrs, 15%) 0.572</t>
  </si>
  <si>
    <t>(249,900 - 100,000)*0.44*Present Value (4yrs, 15%) 0.572</t>
  </si>
  <si>
    <t>Year 1 Net Savings (after tax of 44%)</t>
  </si>
  <si>
    <t>600,000 * 0.3 * 0.44 * 0.5</t>
  </si>
  <si>
    <t>$180,000*0.56</t>
  </si>
  <si>
    <t>510,000 * 0.3 * 0.44</t>
  </si>
  <si>
    <t>357,000 * 0.3 * 0.44</t>
  </si>
  <si>
    <t>Year 4 CCA tax saving *</t>
  </si>
  <si>
    <t>End of Year 4 Disposal Value</t>
  </si>
  <si>
    <t>Year 4 Terminal Loss related to New Machine**</t>
  </si>
  <si>
    <t>(249,900 - 100,000) * 0.44</t>
  </si>
  <si>
    <t>$500,000</t>
  </si>
  <si>
    <t>non-cash tax expense</t>
  </si>
  <si>
    <t>Tax Shield on Mechanical Welding System</t>
  </si>
  <si>
    <t>UCC End Balance
New Mechanical Welding System</t>
  </si>
  <si>
    <t>UCC End Balance
Old Manual System</t>
  </si>
  <si>
    <t>Disposal of old manual system</t>
  </si>
  <si>
    <t>Capital Gains tax on old manual system</t>
  </si>
  <si>
    <t>Recapture on old manual system</t>
  </si>
  <si>
    <t>Tax shield reversal on old manual system</t>
  </si>
  <si>
    <t xml:space="preserve">CCA tax savings Opportunity Cost based on remaining UCC balance </t>
  </si>
  <si>
    <t>116,620 * 0.3 * 0.44</t>
  </si>
  <si>
    <t>81,634 * 0.3 * 0.44</t>
  </si>
  <si>
    <t>57,144 * 0.3 * 0.44</t>
  </si>
  <si>
    <t>40,001 * 0.3 * 0.44</t>
  </si>
  <si>
    <t>*** assumed old manual system's useful life was past Year 9</t>
  </si>
  <si>
    <t>Year 5 CCA tax saving lost on disposed old manual system</t>
  </si>
  <si>
    <t>Year 6 CCA tax saving lost on disposed old manual system</t>
  </si>
  <si>
    <t>Year 7 CCA tax saving lost on disposed old manual system</t>
  </si>
  <si>
    <t>Year 8 CCA tax saving lost on disposed old manual system***</t>
  </si>
  <si>
    <t>Year 4 Terminal Loss on disposal of Mechanical Welding System**</t>
  </si>
  <si>
    <t>Year 2 Net Cash Flow (tax 44%)</t>
  </si>
  <si>
    <t>Year 3 Net Cash Flow (tax 44%)</t>
  </si>
  <si>
    <t>Year 4 Net Cash Flow (tax 44%)</t>
  </si>
  <si>
    <t>Question 1 - NPV Analysis with Tax Impact</t>
  </si>
  <si>
    <t>180,000 * (1-.44) *Annuity (4 yrs, 15%) 2.855</t>
  </si>
  <si>
    <t>(UCC less Acq. Cost) *.44</t>
  </si>
  <si>
    <t>($500,000 less Acq. Cost)*50%*.44</t>
  </si>
  <si>
    <t>Question 1 - Payback Analysis with Tax Impact (not discounted)</t>
  </si>
  <si>
    <t>UCC calculation of old manual system (end of yr 4)</t>
  </si>
  <si>
    <r>
      <t>Year</t>
    </r>
    <r>
      <rPr>
        <b/>
        <u/>
        <sz val="12"/>
        <color rgb="FFFF0000"/>
        <rFont val="Times New Roman"/>
        <family val="1"/>
      </rPr>
      <t xml:space="preserve"> 4</t>
    </r>
    <r>
      <rPr>
        <b/>
        <sz val="12"/>
        <rFont val="Times New Roman"/>
        <family val="1"/>
      </rPr>
      <t xml:space="preserve"> Tax shield reversal of Mechanical Welding System</t>
    </r>
    <r>
      <rPr>
        <b/>
        <sz val="12"/>
        <color rgb="FFFF0000"/>
        <rFont val="Times New Roman"/>
        <family val="1"/>
      </rPr>
      <t>****</t>
    </r>
  </si>
  <si>
    <r>
      <t xml:space="preserve">** Note a PV of </t>
    </r>
    <r>
      <rPr>
        <b/>
        <u/>
        <sz val="12"/>
        <color rgb="FFFF0000"/>
        <rFont val="Times New Roman"/>
        <family val="1"/>
      </rPr>
      <t xml:space="preserve">3 </t>
    </r>
    <r>
      <rPr>
        <b/>
        <sz val="12"/>
        <color rgb="FFFF0000"/>
        <rFont val="Times New Roman"/>
        <family val="1"/>
      </rPr>
      <t xml:space="preserve">yrs, 15% (= 4-1) for the tax shield reversal provides the accurate value for the </t>
    </r>
    <r>
      <rPr>
        <b/>
        <u/>
        <sz val="12"/>
        <color rgb="FFFF0000"/>
        <rFont val="Times New Roman"/>
        <family val="1"/>
      </rPr>
      <t>annual discounted CCA payments</t>
    </r>
    <r>
      <rPr>
        <b/>
        <sz val="12"/>
        <color rgb="FFFF0000"/>
        <rFont val="Times New Roman"/>
        <family val="1"/>
      </rPr>
      <t xml:space="preserve"> related to the Opportunity Cost lost on the disposal; The 3 years matches the timing of the asset's computed ending UCC balance.  BOTH ANSWERS (PV of </t>
    </r>
    <r>
      <rPr>
        <b/>
        <u/>
        <sz val="12"/>
        <color rgb="FFFF0000"/>
        <rFont val="Times New Roman"/>
        <family val="1"/>
      </rPr>
      <t>4</t>
    </r>
    <r>
      <rPr>
        <b/>
        <sz val="12"/>
        <color rgb="FFFF0000"/>
        <rFont val="Times New Roman"/>
        <family val="1"/>
      </rPr>
      <t xml:space="preserve"> years or PV of </t>
    </r>
    <r>
      <rPr>
        <b/>
        <u/>
        <sz val="12"/>
        <color rgb="FFFF0000"/>
        <rFont val="Times New Roman"/>
        <family val="1"/>
      </rPr>
      <t>3</t>
    </r>
    <r>
      <rPr>
        <b/>
        <sz val="12"/>
        <color rgb="FFFF0000"/>
        <rFont val="Times New Roman"/>
        <family val="1"/>
      </rPr>
      <t xml:space="preserve"> years) ARE ACCEPTABLE FOR THIS COURSE.</t>
    </r>
  </si>
  <si>
    <r>
      <rPr>
        <b/>
        <u/>
        <sz val="11"/>
        <rFont val="Calibri"/>
        <family val="2"/>
        <scheme val="minor"/>
      </rPr>
      <t>Question and Answer - Extra Problem 1 - NPV with Capital Gains Tax</t>
    </r>
    <r>
      <rPr>
        <sz val="11"/>
        <rFont val="Calibri"/>
        <family val="2"/>
        <scheme val="minor"/>
      </rPr>
      <t xml:space="preserve">
A firm is contemplating a new, mechanical welding system to replace its current manual system.  The current manual system was acquired five years ago at $400,000 and presently has a UCC value of 116,620 in the tax books (depreciated at a 30% CCA rate).  Its current market value is estimated at $500,000 since it is considered a rare machine! It costs $600,00 to get the new system.  The cost will be depreciated at a 30% CCA rate.  Its expected life is four years.  The system would actually be worth $100,000 at the end of four years.  The management thinks the new system could save $180,000 per year pre-tax in labour costs.  The tax rate is 44%.  The required return is 15%.  Should the new system be purchased?
Calculate NPV tax adjusted and Payback tax adjusted.</t>
    </r>
  </si>
  <si>
    <t xml:space="preserve">(116,620*0.3* .44  / (.15+.30)) </t>
  </si>
  <si>
    <t>$600,000*.3*.44*(1+.15/2) /
((1+.15)* (.15+.30))</t>
  </si>
  <si>
    <t>($500,000 - $400,000)* 50% *.44</t>
  </si>
  <si>
    <t>(116,620 - 400,000 ) *.44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</si>
</sst>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* #,##0.00_-;\-&quot;$&quot;* #,##0.00_-;_-&quot;$&quot;* &quot;-&quot;??_-;_-@_-"/>
    <numFmt numFmtId="165" formatCode="_-* #,##0.00_-;\-* #,##0.00_-;_-* &quot;-&quot;??_-;_-@_-"/>
    <numFmt numFmtId="166" formatCode="_-* #,##0_-;\-* #,##0_-;_-* &quot;-&quot;??_-;_-@_-"/>
    <numFmt numFmtId="167" formatCode="_-&quot;$&quot;* #,##0_-;\-&quot;$&quot;* #,##0_-;_-&quot;$&quot;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2"/>
      <name val="Times New Roman"/>
      <family val="1"/>
    </font>
    <font>
      <b/>
      <u/>
      <sz val="12"/>
      <name val="Times New Roman"/>
      <family val="1"/>
    </font>
    <font>
      <b/>
      <sz val="1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u/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 applyFont="1" applyAlignment="1">
      <alignment horizontal="center"/>
    </xf>
    <xf numFmtId="3" fontId="2" fillId="0" borderId="1" xfId="0" applyNumberFormat="1" applyFont="1" applyFill="1" applyBorder="1" applyAlignment="1">
      <alignment horizontal="right" vertical="top" wrapText="1"/>
    </xf>
    <xf numFmtId="0" fontId="0" fillId="0" borderId="0" xfId="0" applyAlignment="1">
      <alignment horizontal="center" vertical="center" wrapText="1"/>
    </xf>
    <xf numFmtId="3" fontId="2" fillId="0" borderId="5" xfId="0" applyNumberFormat="1" applyFont="1" applyBorder="1" applyAlignment="1">
      <alignment horizontal="right" vertical="top" wrapText="1"/>
    </xf>
    <xf numFmtId="3" fontId="2" fillId="5" borderId="5" xfId="0" applyNumberFormat="1" applyFont="1" applyFill="1" applyBorder="1" applyAlignment="1">
      <alignment horizontal="right" vertical="top" wrapText="1"/>
    </xf>
    <xf numFmtId="166" fontId="2" fillId="4" borderId="5" xfId="1" applyNumberFormat="1" applyFont="1" applyFill="1" applyBorder="1" applyAlignment="1">
      <alignment vertical="top" wrapText="1"/>
    </xf>
    <xf numFmtId="3" fontId="2" fillId="0" borderId="9" xfId="0" applyNumberFormat="1" applyFont="1" applyBorder="1" applyAlignment="1">
      <alignment horizontal="right" vertical="top" wrapText="1"/>
    </xf>
    <xf numFmtId="0" fontId="4" fillId="2" borderId="13" xfId="0" applyFont="1" applyFill="1" applyBorder="1" applyAlignment="1">
      <alignment horizontal="center" vertical="top" wrapText="1"/>
    </xf>
    <xf numFmtId="3" fontId="3" fillId="0" borderId="1" xfId="0" applyNumberFormat="1" applyFont="1" applyBorder="1" applyAlignment="1">
      <alignment horizontal="right" vertical="top" wrapText="1"/>
    </xf>
    <xf numFmtId="3" fontId="2" fillId="6" borderId="2" xfId="0" applyNumberFormat="1" applyFont="1" applyFill="1" applyBorder="1" applyAlignment="1">
      <alignment horizontal="right" vertical="top" wrapText="1"/>
    </xf>
    <xf numFmtId="0" fontId="5" fillId="0" borderId="0" xfId="0" applyFont="1"/>
    <xf numFmtId="0" fontId="7" fillId="0" borderId="1" xfId="0" applyFont="1" applyBorder="1" applyAlignment="1">
      <alignment horizontal="right"/>
    </xf>
    <xf numFmtId="167" fontId="8" fillId="0" borderId="1" xfId="2" applyNumberFormat="1" applyFont="1" applyFill="1" applyBorder="1" applyAlignment="1">
      <alignment vertical="top" wrapText="1"/>
    </xf>
    <xf numFmtId="0" fontId="7" fillId="0" borderId="0" xfId="0" applyFont="1"/>
    <xf numFmtId="0" fontId="9" fillId="0" borderId="0" xfId="0" applyFont="1" applyFill="1"/>
    <xf numFmtId="0" fontId="10" fillId="0" borderId="0" xfId="0" applyFont="1" applyFill="1" applyAlignment="1">
      <alignment horizontal="left"/>
    </xf>
    <xf numFmtId="0" fontId="5" fillId="0" borderId="0" xfId="0" applyFont="1" applyFill="1"/>
    <xf numFmtId="0" fontId="11" fillId="0" borderId="0" xfId="0" applyFont="1"/>
    <xf numFmtId="0" fontId="5" fillId="0" borderId="0" xfId="0" applyFont="1" applyAlignment="1">
      <alignment horizontal="center"/>
    </xf>
    <xf numFmtId="0" fontId="11" fillId="2" borderId="10" xfId="0" applyFont="1" applyFill="1" applyBorder="1" applyAlignment="1">
      <alignment vertical="top" wrapText="1"/>
    </xf>
    <xf numFmtId="0" fontId="11" fillId="0" borderId="11" xfId="0" applyFont="1" applyFill="1" applyBorder="1" applyAlignment="1">
      <alignment vertical="top" wrapText="1"/>
    </xf>
    <xf numFmtId="0" fontId="11" fillId="2" borderId="12" xfId="0" applyFont="1" applyFill="1" applyBorder="1" applyAlignment="1">
      <alignment horizontal="center" vertical="top" wrapText="1"/>
    </xf>
    <xf numFmtId="0" fontId="11" fillId="2" borderId="13" xfId="0" applyFont="1" applyFill="1" applyBorder="1" applyAlignment="1">
      <alignment horizontal="center" vertical="top" wrapText="1"/>
    </xf>
    <xf numFmtId="0" fontId="11" fillId="0" borderId="7" xfId="0" applyFont="1" applyBorder="1" applyAlignment="1">
      <alignment vertical="top" wrapText="1"/>
    </xf>
    <xf numFmtId="166" fontId="12" fillId="0" borderId="6" xfId="1" applyNumberFormat="1" applyFont="1" applyFill="1" applyBorder="1" applyAlignment="1">
      <alignment vertical="top" wrapText="1"/>
    </xf>
    <xf numFmtId="3" fontId="12" fillId="0" borderId="8" xfId="0" applyNumberFormat="1" applyFont="1" applyBorder="1" applyAlignment="1">
      <alignment horizontal="right" vertical="top" wrapText="1"/>
    </xf>
    <xf numFmtId="3" fontId="12" fillId="0" borderId="6" xfId="0" applyNumberFormat="1" applyFont="1" applyBorder="1" applyAlignment="1">
      <alignment horizontal="right" vertical="top" wrapText="1"/>
    </xf>
    <xf numFmtId="0" fontId="11" fillId="0" borderId="3" xfId="0" applyFont="1" applyBorder="1" applyAlignment="1">
      <alignment vertical="top" wrapText="1"/>
    </xf>
    <xf numFmtId="166" fontId="12" fillId="0" borderId="1" xfId="1" quotePrefix="1" applyNumberFormat="1" applyFont="1" applyFill="1" applyBorder="1" applyAlignment="1">
      <alignment vertical="top" wrapText="1"/>
    </xf>
    <xf numFmtId="3" fontId="12" fillId="0" borderId="2" xfId="0" applyNumberFormat="1" applyFont="1" applyBorder="1" applyAlignment="1">
      <alignment horizontal="right" vertical="top" wrapText="1"/>
    </xf>
    <xf numFmtId="3" fontId="12" fillId="0" borderId="1" xfId="0" applyNumberFormat="1" applyFont="1" applyFill="1" applyBorder="1" applyAlignment="1">
      <alignment horizontal="right" vertical="top" wrapText="1"/>
    </xf>
    <xf numFmtId="0" fontId="8" fillId="0" borderId="3" xfId="0" applyFont="1" applyBorder="1" applyAlignment="1">
      <alignment vertical="top" wrapText="1"/>
    </xf>
    <xf numFmtId="0" fontId="13" fillId="0" borderId="1" xfId="0" applyFont="1" applyFill="1" applyBorder="1" applyAlignment="1">
      <alignment horizontal="center" vertical="top" wrapText="1"/>
    </xf>
    <xf numFmtId="3" fontId="8" fillId="0" borderId="2" xfId="0" applyNumberFormat="1" applyFont="1" applyBorder="1" applyAlignment="1">
      <alignment horizontal="right" vertical="top" wrapText="1"/>
    </xf>
    <xf numFmtId="3" fontId="12" fillId="0" borderId="1" xfId="0" applyNumberFormat="1" applyFont="1" applyBorder="1" applyAlignment="1">
      <alignment horizontal="right" vertical="top" wrapText="1"/>
    </xf>
    <xf numFmtId="0" fontId="11" fillId="4" borderId="4" xfId="0" applyFont="1" applyFill="1" applyBorder="1" applyAlignment="1">
      <alignment vertical="top" wrapText="1"/>
    </xf>
    <xf numFmtId="0" fontId="11" fillId="4" borderId="1" xfId="0" applyFont="1" applyFill="1" applyBorder="1" applyAlignment="1">
      <alignment vertical="top" wrapText="1"/>
    </xf>
    <xf numFmtId="0" fontId="11" fillId="4" borderId="2" xfId="0" applyFont="1" applyFill="1" applyBorder="1" applyAlignment="1">
      <alignment vertical="top" wrapText="1"/>
    </xf>
    <xf numFmtId="166" fontId="12" fillId="4" borderId="1" xfId="1" applyNumberFormat="1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12" fillId="0" borderId="1" xfId="0" quotePrefix="1" applyFont="1" applyFill="1" applyBorder="1" applyAlignment="1">
      <alignment horizontal="right" vertical="top" wrapText="1"/>
    </xf>
    <xf numFmtId="0" fontId="11" fillId="0" borderId="3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center" vertical="top" wrapText="1"/>
    </xf>
    <xf numFmtId="3" fontId="12" fillId="0" borderId="2" xfId="0" applyNumberFormat="1" applyFont="1" applyFill="1" applyBorder="1" applyAlignment="1">
      <alignment horizontal="right" vertical="top" wrapText="1"/>
    </xf>
    <xf numFmtId="0" fontId="11" fillId="0" borderId="1" xfId="0" applyFont="1" applyFill="1" applyBorder="1" applyAlignment="1">
      <alignment horizontal="left" vertical="top" wrapText="1"/>
    </xf>
    <xf numFmtId="167" fontId="12" fillId="0" borderId="1" xfId="2" quotePrefix="1" applyNumberFormat="1" applyFont="1" applyFill="1" applyBorder="1" applyAlignment="1">
      <alignment vertical="top" wrapText="1"/>
    </xf>
    <xf numFmtId="167" fontId="12" fillId="0" borderId="1" xfId="2" applyNumberFormat="1" applyFont="1" applyFill="1" applyBorder="1" applyAlignment="1">
      <alignment vertical="top" wrapText="1"/>
    </xf>
    <xf numFmtId="3" fontId="12" fillId="0" borderId="1" xfId="0" applyNumberFormat="1" applyFont="1" applyBorder="1" applyAlignment="1">
      <alignment vertical="top" wrapText="1"/>
    </xf>
    <xf numFmtId="3" fontId="11" fillId="0" borderId="1" xfId="0" applyNumberFormat="1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vertical="top" wrapText="1"/>
    </xf>
    <xf numFmtId="166" fontId="12" fillId="0" borderId="0" xfId="1" applyNumberFormat="1" applyFont="1" applyFill="1" applyBorder="1" applyAlignment="1">
      <alignment vertical="top" wrapText="1"/>
    </xf>
    <xf numFmtId="0" fontId="11" fillId="3" borderId="11" xfId="0" applyFont="1" applyFill="1" applyBorder="1" applyAlignment="1">
      <alignment vertical="top" wrapText="1"/>
    </xf>
    <xf numFmtId="0" fontId="11" fillId="3" borderId="14" xfId="0" applyFont="1" applyFill="1" applyBorder="1" applyAlignment="1">
      <alignment vertical="top" wrapText="1"/>
    </xf>
    <xf numFmtId="0" fontId="5" fillId="0" borderId="1" xfId="0" applyFont="1" applyBorder="1"/>
    <xf numFmtId="166" fontId="12" fillId="3" borderId="6" xfId="1" applyNumberFormat="1" applyFont="1" applyFill="1" applyBorder="1" applyAlignment="1">
      <alignment vertical="top" wrapText="1"/>
    </xf>
    <xf numFmtId="0" fontId="5" fillId="0" borderId="1" xfId="0" applyFont="1" applyBorder="1" applyAlignment="1">
      <alignment horizontal="center"/>
    </xf>
    <xf numFmtId="166" fontId="12" fillId="0" borderId="1" xfId="1" applyNumberFormat="1" applyFont="1" applyFill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13" fillId="3" borderId="1" xfId="0" applyFont="1" applyFill="1" applyBorder="1" applyAlignment="1">
      <alignment horizontal="center" vertical="top" wrapText="1"/>
    </xf>
    <xf numFmtId="3" fontId="8" fillId="0" borderId="1" xfId="0" applyNumberFormat="1" applyFont="1" applyBorder="1" applyAlignment="1">
      <alignment horizontal="right" vertical="top" wrapText="1"/>
    </xf>
    <xf numFmtId="0" fontId="11" fillId="0" borderId="4" xfId="0" applyFont="1" applyBorder="1" applyAlignment="1">
      <alignment horizontal="center" vertical="top" wrapText="1"/>
    </xf>
    <xf numFmtId="0" fontId="12" fillId="3" borderId="1" xfId="0" quotePrefix="1" applyFont="1" applyFill="1" applyBorder="1" applyAlignment="1">
      <alignment horizontal="center" vertical="top" wrapText="1"/>
    </xf>
    <xf numFmtId="0" fontId="12" fillId="3" borderId="1" xfId="0" quotePrefix="1" applyFont="1" applyFill="1" applyBorder="1" applyAlignment="1">
      <alignment horizontal="right" vertical="top" wrapText="1"/>
    </xf>
    <xf numFmtId="166" fontId="12" fillId="3" borderId="1" xfId="1" applyNumberFormat="1" applyFont="1" applyFill="1" applyBorder="1" applyAlignment="1">
      <alignment horizontal="right" vertical="top" wrapText="1"/>
    </xf>
    <xf numFmtId="0" fontId="11" fillId="5" borderId="4" xfId="0" applyFont="1" applyFill="1" applyBorder="1" applyAlignment="1">
      <alignment horizontal="center" vertical="top" wrapText="1"/>
    </xf>
    <xf numFmtId="166" fontId="12" fillId="5" borderId="1" xfId="1" applyNumberFormat="1" applyFont="1" applyFill="1" applyBorder="1" applyAlignment="1">
      <alignment vertical="top" wrapText="1"/>
    </xf>
    <xf numFmtId="0" fontId="5" fillId="5" borderId="0" xfId="0" applyFont="1" applyFill="1"/>
    <xf numFmtId="0" fontId="12" fillId="5" borderId="1" xfId="0" applyFont="1" applyFill="1" applyBorder="1" applyAlignment="1">
      <alignment horizontal="center" vertical="top" wrapText="1"/>
    </xf>
    <xf numFmtId="3" fontId="12" fillId="5" borderId="2" xfId="0" applyNumberFormat="1" applyFont="1" applyFill="1" applyBorder="1" applyAlignment="1">
      <alignment horizontal="right" vertical="top" wrapText="1"/>
    </xf>
    <xf numFmtId="0" fontId="11" fillId="6" borderId="4" xfId="0" applyFont="1" applyFill="1" applyBorder="1" applyAlignment="1">
      <alignment horizontal="center" vertical="top" wrapText="1"/>
    </xf>
    <xf numFmtId="166" fontId="12" fillId="6" borderId="1" xfId="0" applyNumberFormat="1" applyFont="1" applyFill="1" applyBorder="1" applyAlignment="1">
      <alignment horizontal="center" vertical="top" wrapText="1"/>
    </xf>
    <xf numFmtId="0" fontId="12" fillId="6" borderId="1" xfId="0" applyFont="1" applyFill="1" applyBorder="1" applyAlignment="1">
      <alignment horizontal="center" vertical="top" wrapText="1"/>
    </xf>
    <xf numFmtId="3" fontId="12" fillId="6" borderId="2" xfId="0" applyNumberFormat="1" applyFont="1" applyFill="1" applyBorder="1" applyAlignment="1">
      <alignment horizontal="right" vertical="top" wrapText="1"/>
    </xf>
    <xf numFmtId="166" fontId="12" fillId="5" borderId="1" xfId="0" applyNumberFormat="1" applyFont="1" applyFill="1" applyBorder="1" applyAlignment="1">
      <alignment horizontal="center" vertical="top" wrapText="1"/>
    </xf>
    <xf numFmtId="3" fontId="12" fillId="5" borderId="1" xfId="0" applyNumberFormat="1" applyFont="1" applyFill="1" applyBorder="1" applyAlignment="1">
      <alignment horizontal="right" vertical="top" wrapText="1"/>
    </xf>
    <xf numFmtId="3" fontId="12" fillId="3" borderId="1" xfId="0" applyNumberFormat="1" applyFont="1" applyFill="1" applyBorder="1" applyAlignment="1">
      <alignment horizontal="right" vertical="top" wrapText="1"/>
    </xf>
    <xf numFmtId="0" fontId="12" fillId="5" borderId="1" xfId="0" quotePrefix="1" applyFont="1" applyFill="1" applyBorder="1" applyAlignment="1">
      <alignment horizontal="center" vertical="top" wrapText="1"/>
    </xf>
    <xf numFmtId="0" fontId="12" fillId="5" borderId="1" xfId="0" applyFont="1" applyFill="1" applyBorder="1" applyAlignment="1">
      <alignment horizontal="right" vertical="top" wrapText="1"/>
    </xf>
    <xf numFmtId="3" fontId="12" fillId="7" borderId="1" xfId="0" applyNumberFormat="1" applyFont="1" applyFill="1" applyBorder="1" applyAlignment="1">
      <alignment horizontal="right" vertical="top" wrapText="1"/>
    </xf>
    <xf numFmtId="0" fontId="5" fillId="0" borderId="0" xfId="0" applyFont="1" applyAlignment="1">
      <alignment horizontal="left" vertical="center" wrapText="1"/>
    </xf>
    <xf numFmtId="0" fontId="15" fillId="0" borderId="0" xfId="0" applyFont="1" applyFill="1" applyBorder="1" applyAlignment="1">
      <alignment horizontal="left" vertical="top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1"/>
  <sheetViews>
    <sheetView tabSelected="1" zoomScaleNormal="100" workbookViewId="0">
      <selection activeCell="D8" sqref="D8"/>
    </sheetView>
  </sheetViews>
  <sheetFormatPr baseColWidth="10" defaultColWidth="8.83203125" defaultRowHeight="15" x14ac:dyDescent="0.2"/>
  <cols>
    <col min="1" max="1" width="7.5" customWidth="1"/>
    <col min="2" max="2" width="47.6640625" customWidth="1"/>
    <col min="3" max="3" width="38.5" style="1" customWidth="1"/>
    <col min="4" max="4" width="25.6640625" customWidth="1"/>
    <col min="5" max="5" width="20.6640625" customWidth="1"/>
    <col min="6" max="6" width="45.1640625" customWidth="1"/>
    <col min="7" max="7" width="26.33203125" customWidth="1"/>
    <col min="8" max="8" width="10.6640625" bestFit="1" customWidth="1"/>
  </cols>
  <sheetData>
    <row r="2" spans="2:6" ht="117.75" customHeight="1" x14ac:dyDescent="0.2">
      <c r="B2" s="80" t="s">
        <v>66</v>
      </c>
      <c r="C2" s="80"/>
      <c r="D2" s="80"/>
      <c r="E2" s="80"/>
      <c r="F2" s="80"/>
    </row>
    <row r="3" spans="2:6" ht="16" x14ac:dyDescent="0.2">
      <c r="B3" s="11"/>
      <c r="C3" s="12" t="s">
        <v>63</v>
      </c>
      <c r="D3" s="13">
        <f>400000*(1-0.3/2)*POWER((1-0.3),4-1)</f>
        <v>116619.99999999997</v>
      </c>
      <c r="E3" s="14"/>
      <c r="F3" s="11"/>
    </row>
    <row r="4" spans="2:6" ht="16" x14ac:dyDescent="0.2">
      <c r="B4" s="15" t="s">
        <v>58</v>
      </c>
      <c r="C4" s="16"/>
      <c r="D4" s="17"/>
      <c r="E4" s="17"/>
      <c r="F4" s="11"/>
    </row>
    <row r="5" spans="2:6" ht="6.75" customHeight="1" thickBot="1" x14ac:dyDescent="0.25">
      <c r="B5" s="18"/>
      <c r="C5" s="19"/>
      <c r="D5" s="11"/>
      <c r="E5" s="11"/>
      <c r="F5" s="11"/>
    </row>
    <row r="6" spans="2:6" ht="33" thickBot="1" x14ac:dyDescent="0.25">
      <c r="B6" s="20"/>
      <c r="C6" s="21" t="s">
        <v>4</v>
      </c>
      <c r="D6" s="22" t="s">
        <v>5</v>
      </c>
      <c r="E6" s="23" t="s">
        <v>1</v>
      </c>
      <c r="F6" s="11"/>
    </row>
    <row r="7" spans="2:6" ht="16" x14ac:dyDescent="0.2">
      <c r="B7" s="24" t="s">
        <v>19</v>
      </c>
      <c r="C7" s="25"/>
      <c r="D7" s="26">
        <v>-600000</v>
      </c>
      <c r="E7" s="27">
        <f>D7</f>
        <v>-600000</v>
      </c>
      <c r="F7" s="11"/>
    </row>
    <row r="8" spans="2:6" ht="16" x14ac:dyDescent="0.2">
      <c r="B8" s="28" t="s">
        <v>40</v>
      </c>
      <c r="C8" s="29" t="s">
        <v>35</v>
      </c>
      <c r="D8" s="30">
        <v>500000</v>
      </c>
      <c r="E8" s="31">
        <f t="shared" ref="E8:E13" si="0">E7+D8</f>
        <v>-100000</v>
      </c>
      <c r="F8" s="11"/>
    </row>
    <row r="9" spans="2:6" ht="16" x14ac:dyDescent="0.2">
      <c r="B9" s="28" t="s">
        <v>41</v>
      </c>
      <c r="C9" s="29" t="s">
        <v>69</v>
      </c>
      <c r="D9" s="30">
        <f>-(D8-400000)*0.5*0.44</f>
        <v>-22000</v>
      </c>
      <c r="E9" s="31">
        <f t="shared" si="0"/>
        <v>-122000</v>
      </c>
      <c r="F9" s="11"/>
    </row>
    <row r="10" spans="2:6" ht="16" x14ac:dyDescent="0.2">
      <c r="B10" s="28" t="s">
        <v>42</v>
      </c>
      <c r="C10" s="29" t="s">
        <v>70</v>
      </c>
      <c r="D10" s="30">
        <f>(D3-400000)*0.44</f>
        <v>-124687.2</v>
      </c>
      <c r="E10" s="31">
        <f t="shared" si="0"/>
        <v>-246687.2</v>
      </c>
      <c r="F10" s="11" t="s">
        <v>36</v>
      </c>
    </row>
    <row r="11" spans="2:6" ht="16" x14ac:dyDescent="0.2">
      <c r="B11" s="28" t="s">
        <v>43</v>
      </c>
      <c r="C11" s="29" t="s">
        <v>67</v>
      </c>
      <c r="D11" s="31">
        <f>-((D3*0.3*0.44) /(0.15+0.3))</f>
        <v>-34208.533333333326</v>
      </c>
      <c r="E11" s="31">
        <f t="shared" si="0"/>
        <v>-280895.73333333334</v>
      </c>
      <c r="F11" s="11"/>
    </row>
    <row r="12" spans="2:6" ht="32" x14ac:dyDescent="0.2">
      <c r="B12" s="28" t="s">
        <v>37</v>
      </c>
      <c r="C12" s="29" t="s">
        <v>68</v>
      </c>
      <c r="D12" s="29">
        <f>(600000*0.3*0.44*(1+0.15/2)) /((1+0.15)*(0.15+0.3))</f>
        <v>164521.73913043478</v>
      </c>
      <c r="E12" s="31">
        <f t="shared" si="0"/>
        <v>-116373.99420289855</v>
      </c>
      <c r="F12" s="11"/>
    </row>
    <row r="13" spans="2:6" ht="16" x14ac:dyDescent="0.2">
      <c r="B13" s="32" t="s">
        <v>0</v>
      </c>
      <c r="C13" s="33"/>
      <c r="D13" s="34"/>
      <c r="E13" s="35">
        <f t="shared" si="0"/>
        <v>-116373.99420289855</v>
      </c>
      <c r="F13" s="11"/>
    </row>
    <row r="14" spans="2:6" ht="8.25" customHeight="1" x14ac:dyDescent="0.2">
      <c r="B14" s="36"/>
      <c r="C14" s="37"/>
      <c r="D14" s="38"/>
      <c r="E14" s="39"/>
      <c r="F14" s="11"/>
    </row>
    <row r="15" spans="2:6" ht="32" x14ac:dyDescent="0.2">
      <c r="B15" s="40" t="s">
        <v>18</v>
      </c>
      <c r="C15" s="41" t="s">
        <v>59</v>
      </c>
      <c r="D15" s="30">
        <f>180000*0.56*2.855</f>
        <v>287784.00000000006</v>
      </c>
      <c r="E15" s="35">
        <f>E13+D15</f>
        <v>171410.0057971015</v>
      </c>
      <c r="F15" s="11"/>
    </row>
    <row r="16" spans="2:6" ht="30.75" customHeight="1" x14ac:dyDescent="0.2">
      <c r="B16" s="42" t="s">
        <v>20</v>
      </c>
      <c r="C16" s="43" t="s">
        <v>23</v>
      </c>
      <c r="D16" s="44">
        <f>100000*0.572</f>
        <v>57199.999999999993</v>
      </c>
      <c r="E16" s="31">
        <f>E15+D16</f>
        <v>228610.0057971015</v>
      </c>
      <c r="F16" s="11"/>
    </row>
    <row r="17" spans="1:8" ht="33.75" customHeight="1" x14ac:dyDescent="0.2">
      <c r="B17" s="45" t="s">
        <v>21</v>
      </c>
      <c r="C17" s="46" t="s">
        <v>22</v>
      </c>
      <c r="D17" s="47">
        <f>600000*(1-0.3/2)*POWER((1-0.3),3-1)</f>
        <v>249899.99999999997</v>
      </c>
      <c r="E17" s="79"/>
      <c r="F17" s="11"/>
    </row>
    <row r="18" spans="1:8" ht="32" x14ac:dyDescent="0.2">
      <c r="B18" s="40" t="s">
        <v>64</v>
      </c>
      <c r="C18" s="29" t="s">
        <v>24</v>
      </c>
      <c r="D18" s="31">
        <f>-((249900*0.3*0.44) /(0.15+0.3))*0.572</f>
        <v>-41929.888000000006</v>
      </c>
      <c r="E18" s="48">
        <f>E16+D18</f>
        <v>186680.1177971015</v>
      </c>
      <c r="F18" s="11"/>
    </row>
    <row r="19" spans="1:8" ht="32" x14ac:dyDescent="0.2">
      <c r="B19" s="40" t="s">
        <v>54</v>
      </c>
      <c r="C19" s="29" t="s">
        <v>25</v>
      </c>
      <c r="D19" s="31">
        <f>(249900-100000)*0.44*0.572</f>
        <v>37726.831999999995</v>
      </c>
      <c r="E19" s="49">
        <f>E18+D19</f>
        <v>224406.94979710149</v>
      </c>
      <c r="F19" s="11"/>
    </row>
    <row r="20" spans="1:8" ht="8.25" customHeight="1" x14ac:dyDescent="0.2">
      <c r="B20" s="50"/>
      <c r="C20" s="50"/>
      <c r="D20" s="50"/>
      <c r="E20" s="51"/>
      <c r="F20" s="11"/>
    </row>
    <row r="21" spans="1:8" ht="8.25" customHeight="1" x14ac:dyDescent="0.2">
      <c r="B21" s="50"/>
      <c r="C21" s="50"/>
      <c r="D21" s="50"/>
      <c r="E21" s="51"/>
      <c r="F21" s="11"/>
    </row>
    <row r="22" spans="1:8" ht="8.25" customHeight="1" x14ac:dyDescent="0.2">
      <c r="B22" s="50"/>
      <c r="C22" s="50"/>
      <c r="D22" s="50"/>
      <c r="E22" s="51"/>
      <c r="F22" s="11"/>
    </row>
    <row r="23" spans="1:8" ht="17" thickBot="1" x14ac:dyDescent="0.25">
      <c r="B23" s="15" t="s">
        <v>62</v>
      </c>
      <c r="C23" s="50"/>
      <c r="D23" s="50"/>
      <c r="E23" s="51"/>
      <c r="F23" s="11"/>
    </row>
    <row r="24" spans="1:8" ht="33" thickBot="1" x14ac:dyDescent="0.25">
      <c r="B24" s="20"/>
      <c r="C24" s="52" t="s">
        <v>38</v>
      </c>
      <c r="D24" s="53" t="s">
        <v>39</v>
      </c>
      <c r="E24" s="52" t="s">
        <v>4</v>
      </c>
      <c r="F24" s="22" t="s">
        <v>5</v>
      </c>
      <c r="G24" s="8" t="s">
        <v>1</v>
      </c>
    </row>
    <row r="25" spans="1:8" ht="16" x14ac:dyDescent="0.2">
      <c r="A25" s="3" t="s">
        <v>9</v>
      </c>
      <c r="B25" s="24" t="s">
        <v>19</v>
      </c>
      <c r="C25" s="25">
        <v>600000</v>
      </c>
      <c r="D25" s="54"/>
      <c r="E25" s="55"/>
      <c r="F25" s="26">
        <v>-600000</v>
      </c>
      <c r="G25" s="7">
        <f>F25</f>
        <v>-600000</v>
      </c>
    </row>
    <row r="26" spans="1:8" ht="16" x14ac:dyDescent="0.2">
      <c r="A26" s="3"/>
      <c r="B26" s="28" t="s">
        <v>40</v>
      </c>
      <c r="C26" s="56"/>
      <c r="D26" s="57">
        <f>D3</f>
        <v>116619.99999999997</v>
      </c>
      <c r="E26" s="29" t="s">
        <v>35</v>
      </c>
      <c r="F26" s="35">
        <v>500000</v>
      </c>
      <c r="G26" s="2">
        <f>G25+F26</f>
        <v>-100000</v>
      </c>
    </row>
    <row r="27" spans="1:8" ht="32" x14ac:dyDescent="0.2">
      <c r="A27" s="3"/>
      <c r="B27" s="28" t="s">
        <v>41</v>
      </c>
      <c r="C27" s="56"/>
      <c r="D27" s="54"/>
      <c r="E27" s="29" t="s">
        <v>61</v>
      </c>
      <c r="F27" s="35">
        <f>-(F26-400000)*0.5*0.44</f>
        <v>-22000</v>
      </c>
      <c r="G27" s="2">
        <f>G26+F27</f>
        <v>-122000</v>
      </c>
    </row>
    <row r="28" spans="1:8" ht="32" x14ac:dyDescent="0.2">
      <c r="A28" s="3"/>
      <c r="B28" s="28" t="s">
        <v>42</v>
      </c>
      <c r="C28" s="56"/>
      <c r="D28" s="54"/>
      <c r="E28" s="29" t="s">
        <v>60</v>
      </c>
      <c r="F28" s="35">
        <f>(D3-400000)*0.44</f>
        <v>-124687.2</v>
      </c>
      <c r="G28" s="2">
        <f>G27+F28</f>
        <v>-246687.2</v>
      </c>
      <c r="H28" t="s">
        <v>36</v>
      </c>
    </row>
    <row r="29" spans="1:8" ht="16" x14ac:dyDescent="0.2">
      <c r="A29" s="3"/>
      <c r="B29" s="58" t="s">
        <v>0</v>
      </c>
      <c r="C29" s="59"/>
      <c r="D29" s="54"/>
      <c r="E29" s="59"/>
      <c r="F29" s="60"/>
      <c r="G29" s="9">
        <f>G28</f>
        <v>-246687.2</v>
      </c>
    </row>
    <row r="30" spans="1:8" ht="11.25" customHeight="1" x14ac:dyDescent="0.2">
      <c r="A30" s="3"/>
      <c r="B30" s="36"/>
      <c r="C30" s="37"/>
      <c r="D30" s="37"/>
      <c r="E30" s="37"/>
      <c r="F30" s="38"/>
      <c r="G30" s="6"/>
    </row>
    <row r="31" spans="1:8" ht="16" x14ac:dyDescent="0.2">
      <c r="A31" s="3" t="s">
        <v>10</v>
      </c>
      <c r="B31" s="61" t="s">
        <v>26</v>
      </c>
      <c r="C31" s="62"/>
      <c r="D31" s="11"/>
      <c r="E31" s="63" t="s">
        <v>28</v>
      </c>
      <c r="F31" s="64">
        <f>180000*0.56</f>
        <v>100800.00000000001</v>
      </c>
      <c r="G31" s="4">
        <f>G29+F31</f>
        <v>-145887.20000000001</v>
      </c>
    </row>
    <row r="32" spans="1:8" ht="32" x14ac:dyDescent="0.2">
      <c r="A32" s="3"/>
      <c r="B32" s="65" t="s">
        <v>14</v>
      </c>
      <c r="C32" s="66">
        <f>C25*(1-0.3*0.5)</f>
        <v>510000</v>
      </c>
      <c r="D32" s="67"/>
      <c r="E32" s="68" t="s">
        <v>27</v>
      </c>
      <c r="F32" s="69">
        <f>$C25*50%*30%*44%</f>
        <v>39600</v>
      </c>
      <c r="G32" s="5">
        <f>G31+F32</f>
        <v>-106287.20000000001</v>
      </c>
      <c r="H32" t="s">
        <v>6</v>
      </c>
    </row>
    <row r="33" spans="1:8" ht="32" x14ac:dyDescent="0.2">
      <c r="A33" s="3"/>
      <c r="B33" s="70" t="s">
        <v>50</v>
      </c>
      <c r="C33" s="71"/>
      <c r="D33" s="71">
        <f>D26*(1-0.3)</f>
        <v>81633.999999999971</v>
      </c>
      <c r="E33" s="72" t="s">
        <v>45</v>
      </c>
      <c r="F33" s="73">
        <f>-$D26*30%*44%</f>
        <v>-15393.839999999997</v>
      </c>
      <c r="G33" s="10">
        <f>G32+F33</f>
        <v>-121681.04000000001</v>
      </c>
      <c r="H33" t="s">
        <v>44</v>
      </c>
    </row>
    <row r="34" spans="1:8" ht="9.75" customHeight="1" x14ac:dyDescent="0.2">
      <c r="A34" s="3"/>
      <c r="B34" s="36"/>
      <c r="C34" s="37"/>
      <c r="D34" s="37"/>
      <c r="E34" s="37"/>
      <c r="F34" s="38"/>
      <c r="G34" s="6"/>
    </row>
    <row r="35" spans="1:8" ht="16" x14ac:dyDescent="0.2">
      <c r="A35" s="3" t="s">
        <v>11</v>
      </c>
      <c r="B35" s="61" t="s">
        <v>55</v>
      </c>
      <c r="C35" s="62"/>
      <c r="D35" s="11"/>
      <c r="E35" s="63" t="s">
        <v>28</v>
      </c>
      <c r="F35" s="64">
        <f>180000*0.56</f>
        <v>100800.00000000001</v>
      </c>
      <c r="G35" s="4">
        <f>G33+F35</f>
        <v>-20881.039999999994</v>
      </c>
    </row>
    <row r="36" spans="1:8" ht="16" x14ac:dyDescent="0.2">
      <c r="A36" s="3"/>
      <c r="B36" s="65" t="s">
        <v>2</v>
      </c>
      <c r="C36" s="74">
        <f>C32*(1-0.3)</f>
        <v>357000</v>
      </c>
      <c r="D36" s="67"/>
      <c r="E36" s="68" t="s">
        <v>29</v>
      </c>
      <c r="F36" s="69">
        <f>$C32*30%*44%</f>
        <v>67320</v>
      </c>
      <c r="G36" s="5">
        <f>G35+F36</f>
        <v>46438.960000000006</v>
      </c>
      <c r="H36" t="s">
        <v>7</v>
      </c>
    </row>
    <row r="37" spans="1:8" ht="32" x14ac:dyDescent="0.2">
      <c r="A37" s="3"/>
      <c r="B37" s="70" t="s">
        <v>51</v>
      </c>
      <c r="C37" s="71"/>
      <c r="D37" s="71">
        <f>D33*(1-0.3)</f>
        <v>57143.799999999974</v>
      </c>
      <c r="E37" s="72" t="s">
        <v>46</v>
      </c>
      <c r="F37" s="73">
        <f>-$D33*30%*44%</f>
        <v>-10775.687999999996</v>
      </c>
      <c r="G37" s="10">
        <f>G36+F37</f>
        <v>35663.272000000012</v>
      </c>
      <c r="H37" t="s">
        <v>44</v>
      </c>
    </row>
    <row r="38" spans="1:8" ht="12.75" customHeight="1" x14ac:dyDescent="0.2">
      <c r="A38" s="3"/>
      <c r="B38" s="36"/>
      <c r="C38" s="37"/>
      <c r="D38" s="37"/>
      <c r="E38" s="37"/>
      <c r="F38" s="38"/>
      <c r="G38" s="6"/>
    </row>
    <row r="39" spans="1:8" ht="16" x14ac:dyDescent="0.2">
      <c r="A39" s="3" t="s">
        <v>12</v>
      </c>
      <c r="B39" s="61" t="s">
        <v>56</v>
      </c>
      <c r="C39" s="62"/>
      <c r="D39" s="11"/>
      <c r="E39" s="63" t="s">
        <v>28</v>
      </c>
      <c r="F39" s="64">
        <f>180000*0.56</f>
        <v>100800.00000000001</v>
      </c>
      <c r="G39" s="4">
        <f>G37+F39</f>
        <v>136463.27200000003</v>
      </c>
    </row>
    <row r="40" spans="1:8" ht="16" x14ac:dyDescent="0.2">
      <c r="A40" s="3"/>
      <c r="B40" s="65" t="s">
        <v>3</v>
      </c>
      <c r="C40" s="74">
        <f>C36*(1-0.3)</f>
        <v>249899.99999999997</v>
      </c>
      <c r="D40" s="67"/>
      <c r="E40" s="68" t="s">
        <v>30</v>
      </c>
      <c r="F40" s="75">
        <f>$C36*30%*44%</f>
        <v>47124</v>
      </c>
      <c r="G40" s="5">
        <f>G39+F40</f>
        <v>183587.27200000003</v>
      </c>
      <c r="H40" t="s">
        <v>8</v>
      </c>
    </row>
    <row r="41" spans="1:8" ht="32" x14ac:dyDescent="0.2">
      <c r="A41" s="3"/>
      <c r="B41" s="70" t="s">
        <v>52</v>
      </c>
      <c r="C41" s="71"/>
      <c r="D41" s="71">
        <f>D37*(1-0.3)</f>
        <v>40000.659999999982</v>
      </c>
      <c r="E41" s="72" t="s">
        <v>47</v>
      </c>
      <c r="F41" s="73">
        <f>-$D37*30%*44%</f>
        <v>-7542.9815999999964</v>
      </c>
      <c r="G41" s="10">
        <f>G40+F41</f>
        <v>176044.29040000003</v>
      </c>
      <c r="H41" t="s">
        <v>44</v>
      </c>
    </row>
    <row r="42" spans="1:8" ht="16" x14ac:dyDescent="0.2">
      <c r="A42" s="3"/>
      <c r="B42" s="36"/>
      <c r="C42" s="37"/>
      <c r="D42" s="37"/>
      <c r="E42" s="37"/>
      <c r="F42" s="38"/>
      <c r="G42" s="6"/>
    </row>
    <row r="43" spans="1:8" ht="16" x14ac:dyDescent="0.2">
      <c r="A43" s="3" t="s">
        <v>13</v>
      </c>
      <c r="B43" s="61" t="s">
        <v>57</v>
      </c>
      <c r="C43" s="62"/>
      <c r="D43" s="11"/>
      <c r="E43" s="63" t="s">
        <v>28</v>
      </c>
      <c r="F43" s="64">
        <f>180000*0.56</f>
        <v>100800.00000000001</v>
      </c>
      <c r="G43" s="4">
        <f>G41+F43</f>
        <v>276844.29040000006</v>
      </c>
    </row>
    <row r="44" spans="1:8" ht="16" x14ac:dyDescent="0.2">
      <c r="A44" s="3"/>
      <c r="B44" s="65" t="s">
        <v>31</v>
      </c>
      <c r="C44" s="74">
        <f>C40</f>
        <v>249899.99999999997</v>
      </c>
      <c r="D44" s="67"/>
      <c r="E44" s="68"/>
      <c r="F44" s="75"/>
      <c r="G44" s="5">
        <f>G43+F44</f>
        <v>276844.29040000006</v>
      </c>
    </row>
    <row r="45" spans="1:8" ht="16" x14ac:dyDescent="0.2">
      <c r="B45" s="61" t="s">
        <v>32</v>
      </c>
      <c r="C45" s="62"/>
      <c r="D45" s="11"/>
      <c r="E45" s="76">
        <v>100000</v>
      </c>
      <c r="F45" s="64">
        <v>100000</v>
      </c>
      <c r="G45" s="4">
        <f>G44+F45</f>
        <v>376844.29040000006</v>
      </c>
    </row>
    <row r="46" spans="1:8" ht="32" x14ac:dyDescent="0.2">
      <c r="B46" s="65" t="s">
        <v>33</v>
      </c>
      <c r="C46" s="77"/>
      <c r="D46" s="67"/>
      <c r="E46" s="78" t="s">
        <v>34</v>
      </c>
      <c r="F46" s="75">
        <f>(C44-E45)*0.44</f>
        <v>65955.999999999985</v>
      </c>
      <c r="G46" s="5">
        <f>G45+F46</f>
        <v>442800.29040000006</v>
      </c>
      <c r="H46" t="s">
        <v>17</v>
      </c>
    </row>
    <row r="47" spans="1:8" ht="32" x14ac:dyDescent="0.2">
      <c r="A47" s="3"/>
      <c r="B47" s="70" t="s">
        <v>53</v>
      </c>
      <c r="C47" s="71"/>
      <c r="D47" s="71">
        <f>D41*(1-0.3)</f>
        <v>28000.461999999985</v>
      </c>
      <c r="E47" s="72" t="s">
        <v>48</v>
      </c>
      <c r="F47" s="73">
        <f>-$D41*30%*44%</f>
        <v>-5280.0871199999974</v>
      </c>
      <c r="G47" s="10">
        <f>G46+F47</f>
        <v>437520.20328000007</v>
      </c>
      <c r="H47" t="s">
        <v>44</v>
      </c>
    </row>
    <row r="48" spans="1:8" x14ac:dyDescent="0.2">
      <c r="B48" s="11" t="s">
        <v>15</v>
      </c>
      <c r="C48" s="19"/>
      <c r="D48" s="19"/>
      <c r="E48" s="11"/>
      <c r="F48" s="11"/>
    </row>
    <row r="49" spans="2:6" x14ac:dyDescent="0.2">
      <c r="B49" s="11" t="s">
        <v>16</v>
      </c>
      <c r="C49" s="19"/>
      <c r="D49" s="19"/>
      <c r="E49" s="11"/>
      <c r="F49" s="11"/>
    </row>
    <row r="50" spans="2:6" x14ac:dyDescent="0.2">
      <c r="B50" s="11" t="s">
        <v>49</v>
      </c>
      <c r="C50" s="19"/>
      <c r="D50" s="19"/>
      <c r="E50" s="11"/>
      <c r="F50" s="11"/>
    </row>
    <row r="51" spans="2:6" ht="42.75" customHeight="1" x14ac:dyDescent="0.2">
      <c r="B51" s="81" t="s">
        <v>65</v>
      </c>
      <c r="C51" s="81"/>
      <c r="D51" s="81"/>
      <c r="E51" s="81"/>
      <c r="F51" s="81"/>
    </row>
  </sheetData>
  <mergeCells count="2">
    <mergeCell ref="B2:F2"/>
    <mergeCell ref="B51:F51"/>
  </mergeCells>
  <pageMargins left="0.27" right="0.19" top="0.31496062992125984" bottom="0.27559055118110237" header="0.19685039370078741" footer="0.31496062992125984"/>
  <pageSetup scale="64" fitToHeight="2" orientation="landscape" horizontalDpi="4294967293" verticalDpi="4294967293" r:id="rId1"/>
  <rowBreaks count="1" manualBreakCount="1">
    <brk id="22" min="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Q&amp;A P1</vt:lpstr>
      <vt:lpstr>'Q&amp;A P1'!Print_Area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Lagou-Moreau</dc:creator>
  <cp:lastModifiedBy>Jeremy Ouellet</cp:lastModifiedBy>
  <cp:lastPrinted>2015-11-09T01:05:58Z</cp:lastPrinted>
  <dcterms:created xsi:type="dcterms:W3CDTF">2013-06-28T14:09:05Z</dcterms:created>
  <dcterms:modified xsi:type="dcterms:W3CDTF">2018-10-17T14:51:11Z</dcterms:modified>
</cp:coreProperties>
</file>