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or\Desktop\Canada College\"/>
    </mc:Choice>
  </mc:AlternateContent>
  <xr:revisionPtr revIDLastSave="0" documentId="8_{C0D63369-B848-4A2D-BF0E-5B83CE88EEEA}" xr6:coauthVersionLast="34" xr6:coauthVersionMax="34" xr10:uidLastSave="{00000000-0000-0000-0000-000000000000}"/>
  <bookViews>
    <workbookView xWindow="0" yWindow="0" windowWidth="20490" windowHeight="7545" xr2:uid="{8FA06397-0129-46BB-86F1-47AC388B4E16}"/>
  </bookViews>
  <sheets>
    <sheet name="Sheet2" sheetId="1" r:id="rId1"/>
  </sheets>
  <calcPr calcId="1790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  <c r="B37" i="1"/>
  <c r="B49" i="1"/>
  <c r="D6" i="1" l="1"/>
  <c r="E6" i="1" s="1"/>
  <c r="B7" i="1"/>
  <c r="D11" i="1"/>
  <c r="E11" i="1" s="1"/>
  <c r="D12" i="1"/>
  <c r="E12" i="1"/>
  <c r="F12" i="1"/>
  <c r="G12" i="1"/>
  <c r="H12" i="1"/>
  <c r="I12" i="1"/>
  <c r="D13" i="1"/>
  <c r="E13" i="1" s="1"/>
  <c r="F13" i="1" s="1"/>
  <c r="G13" i="1" s="1"/>
  <c r="H13" i="1" s="1"/>
  <c r="I13" i="1" s="1"/>
  <c r="B14" i="1"/>
  <c r="D14" i="1"/>
  <c r="C20" i="1"/>
  <c r="C21" i="1"/>
  <c r="H28" i="1"/>
  <c r="C22" i="1" l="1"/>
  <c r="C32" i="1" s="1"/>
  <c r="C18" i="1"/>
  <c r="L4" i="1"/>
  <c r="L3" i="1" s="1"/>
  <c r="E14" i="1"/>
  <c r="E15" i="1" s="1"/>
  <c r="E16" i="1" s="1"/>
  <c r="E32" i="1" s="1"/>
  <c r="F6" i="1"/>
  <c r="G6" i="1" s="1"/>
  <c r="H6" i="1" s="1"/>
  <c r="I6" i="1" s="1"/>
  <c r="I7" i="1" s="1"/>
  <c r="D7" i="1"/>
  <c r="D8" i="1" s="1"/>
  <c r="E7" i="1"/>
  <c r="E8" i="1" s="1"/>
  <c r="F11" i="1"/>
  <c r="D15" i="1"/>
  <c r="D16" i="1" l="1"/>
  <c r="F7" i="1"/>
  <c r="F8" i="1" s="1"/>
  <c r="H14" i="1"/>
  <c r="G14" i="1"/>
  <c r="G7" i="1"/>
  <c r="G8" i="1" s="1"/>
  <c r="H7" i="1"/>
  <c r="H8" i="1" s="1"/>
  <c r="F14" i="1"/>
  <c r="B19" i="1"/>
  <c r="B25" i="1" s="1"/>
  <c r="D32" i="1"/>
  <c r="L10" i="1"/>
  <c r="G11" i="1"/>
  <c r="F15" i="1"/>
  <c r="F16" i="1" s="1"/>
  <c r="F32" i="1" s="1"/>
  <c r="I8" i="1"/>
  <c r="I14" i="1"/>
  <c r="H11" i="1" l="1"/>
  <c r="G15" i="1"/>
  <c r="G16" i="1" s="1"/>
  <c r="G32" i="1" s="1"/>
  <c r="I11" i="1" l="1"/>
  <c r="I15" i="1" s="1"/>
  <c r="I16" i="1" s="1"/>
  <c r="H26" i="1" s="1"/>
  <c r="H15" i="1"/>
  <c r="H16" i="1" s="1"/>
  <c r="H27" i="1" l="1"/>
  <c r="H29" i="1" s="1"/>
  <c r="H32" i="1" s="1"/>
  <c r="C33" i="1" l="1"/>
  <c r="L13" i="1" s="1"/>
  <c r="C34" i="1"/>
  <c r="L16" i="1" s="1"/>
  <c r="C41" i="1"/>
  <c r="C40" i="1" s="1"/>
  <c r="C44" i="1" l="1"/>
  <c r="C47" i="1" s="1"/>
  <c r="D42" i="1"/>
  <c r="E42" i="1" s="1"/>
  <c r="F42" i="1" s="1"/>
  <c r="L5" i="1"/>
  <c r="L11" i="1"/>
  <c r="E44" i="1" l="1"/>
  <c r="E47" i="1" s="1"/>
  <c r="D44" i="1"/>
  <c r="D47" i="1" s="1"/>
  <c r="G42" i="1"/>
  <c r="F44" i="1"/>
  <c r="F47" i="1" s="1"/>
  <c r="L9" i="1" l="1"/>
  <c r="G44" i="1"/>
  <c r="G47" i="1" s="1"/>
  <c r="H42" i="1"/>
  <c r="H43" i="1" l="1"/>
  <c r="H44" i="1" s="1"/>
  <c r="H47" i="1" s="1"/>
  <c r="C48" i="1" l="1"/>
  <c r="L14" i="1" s="1"/>
  <c r="C49" i="1"/>
  <c r="L17" i="1" s="1"/>
</calcChain>
</file>

<file path=xl/sharedStrings.xml><?xml version="1.0" encoding="utf-8"?>
<sst xmlns="http://schemas.openxmlformats.org/spreadsheetml/2006/main" count="59" uniqueCount="48">
  <si>
    <t>ROE</t>
  </si>
  <si>
    <t>NPV</t>
  </si>
  <si>
    <t>IRR</t>
  </si>
  <si>
    <t>Levered Cashflow</t>
  </si>
  <si>
    <t>LEVERED RETURNS</t>
  </si>
  <si>
    <t>Debt Repayment*</t>
  </si>
  <si>
    <t>Debt Service</t>
  </si>
  <si>
    <t>Loan</t>
  </si>
  <si>
    <t>Equity</t>
  </si>
  <si>
    <t>Amortization</t>
  </si>
  <si>
    <t>Interest</t>
  </si>
  <si>
    <t>LTV</t>
  </si>
  <si>
    <t>LEVERAGE</t>
  </si>
  <si>
    <t>Cashflow</t>
  </si>
  <si>
    <t>RETURNS</t>
  </si>
  <si>
    <t>Lawyer Fees</t>
  </si>
  <si>
    <t>Commission</t>
  </si>
  <si>
    <t>Sale Price</t>
  </si>
  <si>
    <t>Exit Cap</t>
  </si>
  <si>
    <t>DISPOSITION</t>
  </si>
  <si>
    <t>Purchase Price</t>
  </si>
  <si>
    <t>Going in Cap Rate</t>
  </si>
  <si>
    <t>AQUISITION</t>
  </si>
  <si>
    <t>NOI</t>
  </si>
  <si>
    <t>Other</t>
  </si>
  <si>
    <t>Property Taxes</t>
  </si>
  <si>
    <t>Maintenace Fees</t>
  </si>
  <si>
    <t>Expenses</t>
  </si>
  <si>
    <t>Vacancy Allowance</t>
  </si>
  <si>
    <t>Rent</t>
  </si>
  <si>
    <t>Growth</t>
  </si>
  <si>
    <t>Revenues</t>
  </si>
  <si>
    <t>OPERATION</t>
  </si>
  <si>
    <t>YEAR 6</t>
  </si>
  <si>
    <t>YEAR 5</t>
  </si>
  <si>
    <t>YEAR 4</t>
  </si>
  <si>
    <t>YEAR 3</t>
  </si>
  <si>
    <t>YEAR 2</t>
  </si>
  <si>
    <t>YEAR 1</t>
  </si>
  <si>
    <t>YEAR 0</t>
  </si>
  <si>
    <t>Area (sq.ft.)</t>
  </si>
  <si>
    <t>IRR (levered)</t>
  </si>
  <si>
    <t>Purchase Price/Sq.ft.</t>
  </si>
  <si>
    <t>1155 Rue de la Montagne, #2410</t>
  </si>
  <si>
    <t xml:space="preserve">DSCR </t>
  </si>
  <si>
    <t xml:space="preserve">ROI </t>
  </si>
  <si>
    <t>NPV Levered</t>
  </si>
  <si>
    <t>Negotiation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</si>
</sst>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#,##0_);\(&quot;$&quot;#,##0\)"/>
    <numFmt numFmtId="165" formatCode="&quot;$&quot;#,##0_);[Red]\(&quot;$&quot;#,##0\)"/>
    <numFmt numFmtId="166" formatCode="_(&quot;$&quot;* #,##0.00_);_(&quot;$&quot;* \(#,##0.00\);_(&quot;$&quot;* &quot;-&quot;??_);_(@_)"/>
    <numFmt numFmtId="167" formatCode="&quot;$&quot;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2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91">
    <xf numFmtId="0" fontId="0" fillId="0" borderId="0" xfId="0"/>
    <xf numFmtId="0" fontId="4" fillId="0" borderId="0" xfId="0" applyFont="1" applyFill="1"/>
    <xf numFmtId="0" fontId="3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left" vertical="center" wrapText="1" readingOrder="1"/>
    </xf>
    <xf numFmtId="0" fontId="2" fillId="2" borderId="0" xfId="0" applyFont="1" applyFill="1" applyBorder="1" applyAlignment="1">
      <alignment horizontal="left" vertical="center" wrapText="1" readingOrder="1"/>
    </xf>
    <xf numFmtId="0" fontId="3" fillId="2" borderId="0" xfId="0" applyFont="1" applyFill="1"/>
    <xf numFmtId="165" fontId="2" fillId="2" borderId="0" xfId="0" applyNumberFormat="1" applyFont="1" applyFill="1" applyBorder="1" applyAlignment="1">
      <alignment horizontal="left" vertical="center" wrapText="1" readingOrder="1"/>
    </xf>
    <xf numFmtId="0" fontId="2" fillId="0" borderId="0" xfId="0" applyFont="1" applyFill="1" applyBorder="1" applyAlignment="1">
      <alignment vertical="top" wrapText="1"/>
    </xf>
    <xf numFmtId="165" fontId="2" fillId="0" borderId="0" xfId="0" applyNumberFormat="1" applyFont="1" applyFill="1" applyBorder="1" applyAlignment="1">
      <alignment horizontal="left" vertical="center" wrapText="1" readingOrder="1"/>
    </xf>
    <xf numFmtId="0" fontId="2" fillId="0" borderId="0" xfId="0" applyFont="1" applyFill="1" applyBorder="1" applyAlignment="1">
      <alignment horizontal="left" vertical="center" wrapText="1" indent="2" readingOrder="1"/>
    </xf>
    <xf numFmtId="0" fontId="2" fillId="0" borderId="4" xfId="0" applyFont="1" applyFill="1" applyBorder="1" applyAlignment="1">
      <alignment horizontal="left" vertical="center" wrapText="1" indent="2" readingOrder="1"/>
    </xf>
    <xf numFmtId="0" fontId="3" fillId="0" borderId="0" xfId="0" applyFont="1" applyFill="1" applyBorder="1" applyAlignment="1">
      <alignment horizontal="left" vertical="center" wrapText="1" readingOrder="1"/>
    </xf>
    <xf numFmtId="0" fontId="2" fillId="0" borderId="1" xfId="0" applyFont="1" applyFill="1" applyBorder="1" applyAlignment="1">
      <alignment horizontal="left" vertical="center" wrapText="1" readingOrder="1"/>
    </xf>
    <xf numFmtId="0" fontId="2" fillId="0" borderId="4" xfId="0" applyFont="1" applyFill="1" applyBorder="1" applyAlignment="1">
      <alignment horizontal="left" vertical="center" wrapText="1" readingOrder="1"/>
    </xf>
    <xf numFmtId="0" fontId="4" fillId="2" borderId="2" xfId="0" applyFont="1" applyFill="1" applyBorder="1"/>
    <xf numFmtId="0" fontId="3" fillId="2" borderId="2" xfId="0" applyFont="1" applyFill="1" applyBorder="1"/>
    <xf numFmtId="0" fontId="4" fillId="0" borderId="0" xfId="0" applyFont="1" applyFill="1" applyBorder="1"/>
    <xf numFmtId="9" fontId="3" fillId="0" borderId="0" xfId="0" applyNumberFormat="1" applyFont="1" applyFill="1" applyBorder="1"/>
    <xf numFmtId="0" fontId="3" fillId="0" borderId="0" xfId="0" applyFont="1" applyFill="1" applyBorder="1"/>
    <xf numFmtId="0" fontId="4" fillId="0" borderId="4" xfId="0" applyFont="1" applyFill="1" applyBorder="1"/>
    <xf numFmtId="0" fontId="3" fillId="0" borderId="4" xfId="0" applyFont="1" applyFill="1" applyBorder="1"/>
    <xf numFmtId="0" fontId="4" fillId="0" borderId="3" xfId="0" applyFont="1" applyFill="1" applyBorder="1"/>
    <xf numFmtId="0" fontId="3" fillId="0" borderId="3" xfId="0" applyFont="1" applyFill="1" applyBorder="1"/>
    <xf numFmtId="0" fontId="2" fillId="2" borderId="2" xfId="0" applyFont="1" applyFill="1" applyBorder="1" applyAlignment="1">
      <alignment horizontal="left" vertical="center" wrapText="1" readingOrder="1"/>
    </xf>
    <xf numFmtId="165" fontId="3" fillId="2" borderId="2" xfId="0" applyNumberFormat="1" applyFont="1" applyFill="1" applyBorder="1" applyAlignment="1">
      <alignment horizontal="left" vertical="center" wrapText="1" readingOrder="1"/>
    </xf>
    <xf numFmtId="0" fontId="5" fillId="0" borderId="0" xfId="0" applyFont="1" applyFill="1" applyBorder="1" applyAlignment="1">
      <alignment horizontal="right" vertical="center" wrapText="1" readingOrder="1"/>
    </xf>
    <xf numFmtId="0" fontId="2" fillId="2" borderId="0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right"/>
    </xf>
    <xf numFmtId="0" fontId="2" fillId="0" borderId="4" xfId="0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horizontal="right" vertical="top" wrapText="1"/>
    </xf>
    <xf numFmtId="167" fontId="2" fillId="2" borderId="0" xfId="0" applyNumberFormat="1" applyFont="1" applyFill="1" applyBorder="1" applyAlignment="1">
      <alignment horizontal="right" vertical="top" wrapText="1"/>
    </xf>
    <xf numFmtId="165" fontId="2" fillId="0" borderId="0" xfId="0" applyNumberFormat="1" applyFont="1" applyFill="1" applyBorder="1" applyAlignment="1">
      <alignment horizontal="right" vertical="center" wrapText="1" readingOrder="1"/>
    </xf>
    <xf numFmtId="165" fontId="2" fillId="0" borderId="4" xfId="0" applyNumberFormat="1" applyFont="1" applyFill="1" applyBorder="1" applyAlignment="1">
      <alignment horizontal="right" vertical="center" wrapText="1" readingOrder="1"/>
    </xf>
    <xf numFmtId="9" fontId="2" fillId="0" borderId="0" xfId="0" applyNumberFormat="1" applyFont="1" applyFill="1" applyBorder="1" applyAlignment="1">
      <alignment horizontal="right" vertical="top" wrapText="1"/>
    </xf>
    <xf numFmtId="165" fontId="2" fillId="0" borderId="1" xfId="0" applyNumberFormat="1" applyFont="1" applyFill="1" applyBorder="1" applyAlignment="1">
      <alignment horizontal="right" vertical="top" wrapText="1"/>
    </xf>
    <xf numFmtId="0" fontId="4" fillId="2" borderId="2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right"/>
    </xf>
    <xf numFmtId="40" fontId="4" fillId="0" borderId="0" xfId="0" applyNumberFormat="1" applyFont="1" applyFill="1" applyBorder="1" applyAlignment="1">
      <alignment horizontal="right"/>
    </xf>
    <xf numFmtId="38" fontId="4" fillId="0" borderId="0" xfId="0" applyNumberFormat="1" applyFont="1" applyFill="1" applyBorder="1" applyAlignment="1">
      <alignment horizontal="right"/>
    </xf>
    <xf numFmtId="165" fontId="4" fillId="0" borderId="4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right" vertical="top" wrapText="1"/>
    </xf>
    <xf numFmtId="165" fontId="2" fillId="0" borderId="1" xfId="0" applyNumberFormat="1" applyFont="1" applyFill="1" applyBorder="1" applyAlignment="1">
      <alignment horizontal="right" vertical="center" wrapText="1" readingOrder="1"/>
    </xf>
    <xf numFmtId="165" fontId="2" fillId="2" borderId="0" xfId="0" applyNumberFormat="1" applyFont="1" applyFill="1" applyBorder="1" applyAlignment="1">
      <alignment horizontal="right" vertical="center" wrapText="1" readingOrder="1"/>
    </xf>
    <xf numFmtId="40" fontId="4" fillId="0" borderId="3" xfId="0" applyNumberFormat="1" applyFont="1" applyFill="1" applyBorder="1" applyAlignment="1">
      <alignment horizontal="right"/>
    </xf>
    <xf numFmtId="165" fontId="2" fillId="2" borderId="2" xfId="0" applyNumberFormat="1" applyFont="1" applyFill="1" applyBorder="1" applyAlignment="1">
      <alignment horizontal="right" vertical="center" wrapText="1" readingOrder="1"/>
    </xf>
    <xf numFmtId="0" fontId="3" fillId="0" borderId="0" xfId="0" applyFont="1" applyFill="1" applyAlignment="1">
      <alignment horizontal="right"/>
    </xf>
    <xf numFmtId="9" fontId="3" fillId="0" borderId="0" xfId="0" applyNumberFormat="1" applyFont="1" applyFill="1" applyBorder="1" applyAlignment="1">
      <alignment horizontal="right" vertical="center" wrapText="1" readingOrder="1"/>
    </xf>
    <xf numFmtId="9" fontId="3" fillId="0" borderId="4" xfId="0" applyNumberFormat="1" applyFont="1" applyFill="1" applyBorder="1" applyAlignment="1">
      <alignment horizontal="right" vertical="center" wrapText="1" readingOrder="1"/>
    </xf>
    <xf numFmtId="0" fontId="3" fillId="0" borderId="0" xfId="0" applyFont="1" applyFill="1" applyBorder="1" applyAlignment="1">
      <alignment horizontal="right" vertical="center" wrapText="1" readingOrder="1"/>
    </xf>
    <xf numFmtId="165" fontId="3" fillId="0" borderId="0" xfId="0" applyNumberFormat="1" applyFont="1" applyFill="1" applyBorder="1" applyAlignment="1">
      <alignment horizontal="right" vertical="center" wrapText="1" readingOrder="1"/>
    </xf>
    <xf numFmtId="0" fontId="3" fillId="0" borderId="1" xfId="0" applyFont="1" applyFill="1" applyBorder="1" applyAlignment="1">
      <alignment horizontal="right" vertical="center" wrapText="1" readingOrder="1"/>
    </xf>
    <xf numFmtId="0" fontId="3" fillId="2" borderId="0" xfId="0" applyFont="1" applyFill="1" applyBorder="1" applyAlignment="1">
      <alignment horizontal="right" vertical="center" wrapText="1" readingOrder="1"/>
    </xf>
    <xf numFmtId="10" fontId="3" fillId="0" borderId="0" xfId="0" applyNumberFormat="1" applyFont="1" applyFill="1" applyBorder="1" applyAlignment="1">
      <alignment horizontal="right" vertical="center" wrapText="1" readingOrder="1"/>
    </xf>
    <xf numFmtId="165" fontId="3" fillId="0" borderId="4" xfId="0" applyNumberFormat="1" applyFont="1" applyFill="1" applyBorder="1" applyAlignment="1">
      <alignment horizontal="right" vertical="center" wrapText="1" readingOrder="1"/>
    </xf>
    <xf numFmtId="165" fontId="3" fillId="2" borderId="0" xfId="0" applyNumberFormat="1" applyFont="1" applyFill="1" applyBorder="1" applyAlignment="1">
      <alignment horizontal="right" vertical="center" wrapText="1" readingOrder="1"/>
    </xf>
    <xf numFmtId="0" fontId="2" fillId="0" borderId="4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10" fontId="3" fillId="0" borderId="1" xfId="0" applyNumberFormat="1" applyFont="1" applyFill="1" applyBorder="1" applyAlignment="1">
      <alignment horizontal="right" vertical="center" wrapText="1" readingOrder="1"/>
    </xf>
    <xf numFmtId="0" fontId="4" fillId="0" borderId="5" xfId="0" applyFont="1" applyFill="1" applyBorder="1"/>
    <xf numFmtId="0" fontId="2" fillId="0" borderId="7" xfId="0" applyFont="1" applyFill="1" applyBorder="1"/>
    <xf numFmtId="165" fontId="2" fillId="0" borderId="8" xfId="0" applyNumberFormat="1" applyFont="1" applyFill="1" applyBorder="1"/>
    <xf numFmtId="0" fontId="2" fillId="0" borderId="9" xfId="0" applyFont="1" applyFill="1" applyBorder="1"/>
    <xf numFmtId="165" fontId="2" fillId="0" borderId="10" xfId="0" applyNumberFormat="1" applyFont="1" applyFill="1" applyBorder="1"/>
    <xf numFmtId="0" fontId="2" fillId="0" borderId="11" xfId="0" applyFont="1" applyFill="1" applyBorder="1"/>
    <xf numFmtId="164" fontId="2" fillId="0" borderId="12" xfId="1" applyNumberFormat="1" applyFont="1" applyFill="1" applyBorder="1"/>
    <xf numFmtId="0" fontId="4" fillId="0" borderId="9" xfId="0" applyFont="1" applyFill="1" applyBorder="1"/>
    <xf numFmtId="0" fontId="3" fillId="0" borderId="10" xfId="0" applyFont="1" applyFill="1" applyBorder="1"/>
    <xf numFmtId="0" fontId="4" fillId="0" borderId="7" xfId="0" applyFont="1" applyFill="1" applyBorder="1"/>
    <xf numFmtId="40" fontId="4" fillId="0" borderId="8" xfId="0" applyNumberFormat="1" applyFont="1" applyFill="1" applyBorder="1"/>
    <xf numFmtId="10" fontId="4" fillId="0" borderId="10" xfId="0" applyNumberFormat="1" applyFont="1" applyFill="1" applyBorder="1"/>
    <xf numFmtId="0" fontId="4" fillId="0" borderId="11" xfId="0" applyFont="1" applyFill="1" applyBorder="1"/>
    <xf numFmtId="10" fontId="4" fillId="0" borderId="12" xfId="0" applyNumberFormat="1" applyFont="1" applyFill="1" applyBorder="1"/>
    <xf numFmtId="0" fontId="4" fillId="0" borderId="13" xfId="0" applyFont="1" applyFill="1" applyBorder="1"/>
    <xf numFmtId="0" fontId="3" fillId="0" borderId="14" xfId="0" applyFont="1" applyFill="1" applyBorder="1"/>
    <xf numFmtId="9" fontId="4" fillId="0" borderId="10" xfId="0" applyNumberFormat="1" applyFont="1" applyFill="1" applyBorder="1"/>
    <xf numFmtId="9" fontId="4" fillId="0" borderId="12" xfId="0" applyNumberFormat="1" applyFont="1" applyFill="1" applyBorder="1"/>
    <xf numFmtId="165" fontId="2" fillId="0" borderId="12" xfId="0" applyNumberFormat="1" applyFont="1" applyFill="1" applyBorder="1"/>
    <xf numFmtId="9" fontId="4" fillId="3" borderId="6" xfId="0" applyNumberFormat="1" applyFont="1" applyFill="1" applyBorder="1"/>
    <xf numFmtId="9" fontId="4" fillId="3" borderId="8" xfId="0" applyNumberFormat="1" applyFont="1" applyFill="1" applyBorder="1"/>
    <xf numFmtId="10" fontId="3" fillId="3" borderId="0" xfId="0" applyNumberFormat="1" applyFont="1" applyFill="1" applyBorder="1"/>
    <xf numFmtId="1" fontId="3" fillId="3" borderId="0" xfId="0" applyNumberFormat="1" applyFont="1" applyFill="1" applyBorder="1"/>
    <xf numFmtId="10" fontId="3" fillId="3" borderId="1" xfId="0" applyNumberFormat="1" applyFont="1" applyFill="1" applyBorder="1" applyAlignment="1">
      <alignment horizontal="right" vertical="center" wrapText="1" readingOrder="1"/>
    </xf>
    <xf numFmtId="10" fontId="3" fillId="3" borderId="0" xfId="0" applyNumberFormat="1" applyFont="1" applyFill="1" applyBorder="1" applyAlignment="1">
      <alignment horizontal="right" vertical="center" wrapText="1" readingOrder="1"/>
    </xf>
    <xf numFmtId="165" fontId="3" fillId="3" borderId="0" xfId="0" applyNumberFormat="1" applyFont="1" applyFill="1" applyBorder="1" applyAlignment="1">
      <alignment horizontal="right" vertical="center" wrapText="1" readingOrder="1"/>
    </xf>
    <xf numFmtId="9" fontId="3" fillId="3" borderId="0" xfId="0" applyNumberFormat="1" applyFont="1" applyFill="1" applyBorder="1" applyAlignment="1">
      <alignment horizontal="right" vertical="center" wrapText="1" readingOrder="1"/>
    </xf>
    <xf numFmtId="167" fontId="4" fillId="3" borderId="4" xfId="0" applyNumberFormat="1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 vertical="center"/>
    </xf>
    <xf numFmtId="0" fontId="0" fillId="0" borderId="4" xfId="0" applyBorder="1" applyAlignme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9BAB7-201A-433B-8472-981B2BB6DB8C}">
  <dimension ref="A1:L49"/>
  <sheetViews>
    <sheetView tabSelected="1" workbookViewId="0">
      <selection sqref="A1:C1"/>
    </sheetView>
  </sheetViews>
  <sheetFormatPr defaultColWidth="21.85546875" defaultRowHeight="18.75" x14ac:dyDescent="0.3"/>
  <cols>
    <col min="1" max="1" width="27.140625" style="16" customWidth="1"/>
    <col min="2" max="2" width="9.7109375" style="18" bestFit="1" customWidth="1"/>
    <col min="3" max="3" width="13.85546875" style="37" bestFit="1" customWidth="1"/>
    <col min="4" max="7" width="12.28515625" style="16" bestFit="1" customWidth="1"/>
    <col min="8" max="8" width="14.5703125" style="16" bestFit="1" customWidth="1"/>
    <col min="9" max="9" width="11.140625" style="16" bestFit="1" customWidth="1"/>
    <col min="10" max="10" width="21.85546875" style="1"/>
    <col min="11" max="11" width="24.140625" style="1" customWidth="1"/>
    <col min="12" max="16384" width="21.85546875" style="1"/>
  </cols>
  <sheetData>
    <row r="1" spans="1:12" ht="19.5" thickBot="1" x14ac:dyDescent="0.35">
      <c r="A1" s="89" t="s">
        <v>43</v>
      </c>
      <c r="B1" s="90"/>
      <c r="C1" s="90"/>
      <c r="D1" s="57" t="s">
        <v>17</v>
      </c>
      <c r="E1" s="87">
        <v>428000</v>
      </c>
      <c r="F1" s="57" t="s">
        <v>29</v>
      </c>
      <c r="G1" s="87">
        <v>1750</v>
      </c>
      <c r="H1" s="58" t="s">
        <v>40</v>
      </c>
      <c r="I1" s="88">
        <v>563</v>
      </c>
    </row>
    <row r="2" spans="1:12" x14ac:dyDescent="0.3">
      <c r="A2" s="1"/>
      <c r="B2" s="2"/>
      <c r="C2" s="25" t="s">
        <v>39</v>
      </c>
      <c r="D2" s="3" t="s">
        <v>38</v>
      </c>
      <c r="E2" s="3" t="s">
        <v>37</v>
      </c>
      <c r="F2" s="3" t="s">
        <v>36</v>
      </c>
      <c r="G2" s="3" t="s">
        <v>35</v>
      </c>
      <c r="H2" s="3" t="s">
        <v>34</v>
      </c>
      <c r="I2" s="3" t="s">
        <v>33</v>
      </c>
      <c r="K2" s="60" t="s">
        <v>47</v>
      </c>
      <c r="L2" s="79">
        <v>1</v>
      </c>
    </row>
    <row r="3" spans="1:12" x14ac:dyDescent="0.3">
      <c r="A3" s="4" t="s">
        <v>32</v>
      </c>
      <c r="B3" s="5"/>
      <c r="C3" s="26"/>
      <c r="D3" s="6"/>
      <c r="E3" s="6"/>
      <c r="F3" s="6"/>
      <c r="G3" s="6"/>
      <c r="H3" s="6"/>
      <c r="I3" s="6"/>
      <c r="K3" s="61" t="s">
        <v>42</v>
      </c>
      <c r="L3" s="62">
        <f>L4/I1</f>
        <v>760.21314387211373</v>
      </c>
    </row>
    <row r="4" spans="1:12" x14ac:dyDescent="0.3">
      <c r="A4" s="3" t="s">
        <v>31</v>
      </c>
      <c r="B4" s="47"/>
      <c r="C4" s="27"/>
      <c r="D4" s="32"/>
      <c r="E4" s="32"/>
      <c r="F4" s="32"/>
      <c r="G4" s="32"/>
      <c r="H4" s="32"/>
      <c r="I4" s="32"/>
      <c r="K4" s="63" t="s">
        <v>20</v>
      </c>
      <c r="L4" s="64">
        <f>-C20</f>
        <v>428000</v>
      </c>
    </row>
    <row r="5" spans="1:12" ht="19.5" thickBot="1" x14ac:dyDescent="0.35">
      <c r="A5" s="9" t="s">
        <v>30</v>
      </c>
      <c r="B5" s="84">
        <v>0.02</v>
      </c>
      <c r="C5" s="28"/>
      <c r="D5" s="28"/>
      <c r="E5" s="28"/>
      <c r="F5" s="28"/>
      <c r="G5" s="28"/>
      <c r="H5" s="28"/>
      <c r="I5" s="28"/>
      <c r="K5" s="65" t="s">
        <v>8</v>
      </c>
      <c r="L5" s="66">
        <f>C40</f>
        <v>21500</v>
      </c>
    </row>
    <row r="6" spans="1:12" x14ac:dyDescent="0.3">
      <c r="A6" s="9" t="s">
        <v>29</v>
      </c>
      <c r="B6" s="86">
        <v>1</v>
      </c>
      <c r="C6" s="27"/>
      <c r="D6" s="32">
        <f>B6*G1*12</f>
        <v>21000</v>
      </c>
      <c r="E6" s="32">
        <f>D6*(1+$B$5)</f>
        <v>21420</v>
      </c>
      <c r="F6" s="32">
        <f>E6*(1+$B$5)</f>
        <v>21848.400000000001</v>
      </c>
      <c r="G6" s="32">
        <f>F6*(1+$B$5)</f>
        <v>22285.368000000002</v>
      </c>
      <c r="H6" s="32">
        <f>G6*(1+$B$5)</f>
        <v>22731.075360000003</v>
      </c>
      <c r="I6" s="32">
        <f>H6*(1+$B$5)</f>
        <v>23185.696867200004</v>
      </c>
      <c r="K6" s="67"/>
      <c r="L6" s="68"/>
    </row>
    <row r="7" spans="1:12" x14ac:dyDescent="0.3">
      <c r="A7" s="9" t="s">
        <v>28</v>
      </c>
      <c r="B7" s="84">
        <f>1/12</f>
        <v>8.3333333333333329E-2</v>
      </c>
      <c r="C7" s="27"/>
      <c r="D7" s="32">
        <f t="shared" ref="D7:I7" si="0">-($B$7*D6)</f>
        <v>-1750</v>
      </c>
      <c r="E7" s="32">
        <f t="shared" si="0"/>
        <v>-1785</v>
      </c>
      <c r="F7" s="32">
        <f t="shared" si="0"/>
        <v>-1820.7</v>
      </c>
      <c r="G7" s="32">
        <f t="shared" si="0"/>
        <v>-1857.114</v>
      </c>
      <c r="H7" s="32">
        <f t="shared" si="0"/>
        <v>-1894.2562800000001</v>
      </c>
      <c r="I7" s="32">
        <f t="shared" si="0"/>
        <v>-1932.1414056000003</v>
      </c>
      <c r="K7" s="67"/>
      <c r="L7" s="68"/>
    </row>
    <row r="8" spans="1:12" ht="19.5" thickBot="1" x14ac:dyDescent="0.35">
      <c r="A8" s="10"/>
      <c r="B8" s="49"/>
      <c r="C8" s="29"/>
      <c r="D8" s="33">
        <f t="shared" ref="D8:I8" si="1">D6+D7</f>
        <v>19250</v>
      </c>
      <c r="E8" s="33">
        <f t="shared" si="1"/>
        <v>19635</v>
      </c>
      <c r="F8" s="33">
        <f t="shared" si="1"/>
        <v>20027.7</v>
      </c>
      <c r="G8" s="33">
        <f t="shared" si="1"/>
        <v>20428.254000000001</v>
      </c>
      <c r="H8" s="33">
        <f t="shared" si="1"/>
        <v>20836.819080000001</v>
      </c>
      <c r="I8" s="33">
        <f t="shared" si="1"/>
        <v>21253.555461600004</v>
      </c>
      <c r="K8" s="69" t="s">
        <v>11</v>
      </c>
      <c r="L8" s="80">
        <v>0.95</v>
      </c>
    </row>
    <row r="9" spans="1:12" x14ac:dyDescent="0.3">
      <c r="A9" s="9"/>
      <c r="B9" s="48"/>
      <c r="C9" s="27"/>
      <c r="D9" s="32"/>
      <c r="E9" s="32"/>
      <c r="F9" s="32"/>
      <c r="G9" s="32"/>
      <c r="H9" s="32"/>
      <c r="I9" s="32"/>
      <c r="K9" s="69" t="s">
        <v>44</v>
      </c>
      <c r="L9" s="70">
        <f>D32/-D44</f>
        <v>0.29096935514278699</v>
      </c>
    </row>
    <row r="10" spans="1:12" x14ac:dyDescent="0.3">
      <c r="A10" s="3" t="s">
        <v>27</v>
      </c>
      <c r="B10" s="50"/>
      <c r="C10" s="27"/>
      <c r="D10" s="32"/>
      <c r="E10" s="32"/>
      <c r="F10" s="32"/>
      <c r="G10" s="32"/>
      <c r="H10" s="32"/>
      <c r="I10" s="32"/>
      <c r="K10" s="67" t="s">
        <v>45</v>
      </c>
      <c r="L10" s="71">
        <f>D16/-C22</f>
        <v>1.226046511627907E-2</v>
      </c>
    </row>
    <row r="11" spans="1:12" ht="19.5" thickBot="1" x14ac:dyDescent="0.35">
      <c r="A11" s="9" t="s">
        <v>26</v>
      </c>
      <c r="B11" s="85">
        <v>264</v>
      </c>
      <c r="C11" s="27"/>
      <c r="D11" s="32">
        <f>B11*12</f>
        <v>3168</v>
      </c>
      <c r="E11" s="32">
        <f>D11</f>
        <v>3168</v>
      </c>
      <c r="F11" s="32">
        <f>E11</f>
        <v>3168</v>
      </c>
      <c r="G11" s="32">
        <f>F11</f>
        <v>3168</v>
      </c>
      <c r="H11" s="32">
        <f>G11</f>
        <v>3168</v>
      </c>
      <c r="I11" s="32">
        <f>H11</f>
        <v>3168</v>
      </c>
      <c r="K11" s="72" t="s">
        <v>0</v>
      </c>
      <c r="L11" s="73">
        <f>D32/C40</f>
        <v>0.24520930232558139</v>
      </c>
    </row>
    <row r="12" spans="1:12" x14ac:dyDescent="0.3">
      <c r="A12" s="9" t="s">
        <v>25</v>
      </c>
      <c r="B12" s="84">
        <v>0.02</v>
      </c>
      <c r="C12" s="27"/>
      <c r="D12" s="32">
        <f t="shared" ref="D12:I12" si="2">$B$12*$E$1</f>
        <v>8560</v>
      </c>
      <c r="E12" s="32">
        <f t="shared" si="2"/>
        <v>8560</v>
      </c>
      <c r="F12" s="32">
        <f t="shared" si="2"/>
        <v>8560</v>
      </c>
      <c r="G12" s="32">
        <f t="shared" si="2"/>
        <v>8560</v>
      </c>
      <c r="H12" s="32">
        <f t="shared" si="2"/>
        <v>8560</v>
      </c>
      <c r="I12" s="32">
        <f t="shared" si="2"/>
        <v>8560</v>
      </c>
      <c r="K12" s="74"/>
      <c r="L12" s="75"/>
    </row>
    <row r="13" spans="1:12" x14ac:dyDescent="0.3">
      <c r="A13" s="9" t="s">
        <v>24</v>
      </c>
      <c r="B13" s="85">
        <v>500</v>
      </c>
      <c r="C13" s="27"/>
      <c r="D13" s="32">
        <f>B13</f>
        <v>500</v>
      </c>
      <c r="E13" s="32">
        <f>D13</f>
        <v>500</v>
      </c>
      <c r="F13" s="32">
        <f>E13</f>
        <v>500</v>
      </c>
      <c r="G13" s="32">
        <f>F13</f>
        <v>500</v>
      </c>
      <c r="H13" s="32">
        <f>G13</f>
        <v>500</v>
      </c>
      <c r="I13" s="32">
        <f>H13</f>
        <v>500</v>
      </c>
      <c r="K13" s="67" t="s">
        <v>2</v>
      </c>
      <c r="L13" s="76">
        <f>C33</f>
        <v>0.17435193074703603</v>
      </c>
    </row>
    <row r="14" spans="1:12" ht="19.5" thickBot="1" x14ac:dyDescent="0.35">
      <c r="A14" s="9" t="s">
        <v>16</v>
      </c>
      <c r="B14" s="86">
        <f>1/12</f>
        <v>8.3333333333333329E-2</v>
      </c>
      <c r="C14" s="27"/>
      <c r="D14" s="32">
        <f t="shared" ref="D14:I14" si="3">$B$14*D6</f>
        <v>1750</v>
      </c>
      <c r="E14" s="32">
        <f t="shared" si="3"/>
        <v>1785</v>
      </c>
      <c r="F14" s="32">
        <f t="shared" si="3"/>
        <v>1820.7</v>
      </c>
      <c r="G14" s="32">
        <f t="shared" si="3"/>
        <v>1857.114</v>
      </c>
      <c r="H14" s="32">
        <f t="shared" si="3"/>
        <v>1894.2562800000001</v>
      </c>
      <c r="I14" s="32">
        <f t="shared" si="3"/>
        <v>1932.1414056000003</v>
      </c>
      <c r="K14" s="72" t="s">
        <v>41</v>
      </c>
      <c r="L14" s="77">
        <f>C48</f>
        <v>0.63085852961297562</v>
      </c>
    </row>
    <row r="15" spans="1:12" ht="19.5" thickBot="1" x14ac:dyDescent="0.35">
      <c r="A15" s="10"/>
      <c r="B15" s="49"/>
      <c r="C15" s="29"/>
      <c r="D15" s="33">
        <f t="shared" ref="D15:I15" si="4">SUM(D11:D14)</f>
        <v>13978</v>
      </c>
      <c r="E15" s="33">
        <f t="shared" si="4"/>
        <v>14013</v>
      </c>
      <c r="F15" s="33">
        <f t="shared" si="4"/>
        <v>14048.7</v>
      </c>
      <c r="G15" s="33">
        <f t="shared" si="4"/>
        <v>14085.114</v>
      </c>
      <c r="H15" s="33">
        <f t="shared" si="4"/>
        <v>14122.25628</v>
      </c>
      <c r="I15" s="33">
        <f t="shared" si="4"/>
        <v>14160.141405599999</v>
      </c>
      <c r="K15" s="74"/>
      <c r="L15" s="75"/>
    </row>
    <row r="16" spans="1:12" ht="19.5" thickBot="1" x14ac:dyDescent="0.35">
      <c r="A16" s="12" t="s">
        <v>23</v>
      </c>
      <c r="B16" s="52"/>
      <c r="C16" s="30"/>
      <c r="D16" s="43">
        <f t="shared" ref="D16:I16" si="5">D8-D15</f>
        <v>5272</v>
      </c>
      <c r="E16" s="43">
        <f t="shared" si="5"/>
        <v>5622</v>
      </c>
      <c r="F16" s="43">
        <f t="shared" si="5"/>
        <v>5979</v>
      </c>
      <c r="G16" s="43">
        <f t="shared" si="5"/>
        <v>6343.1400000000012</v>
      </c>
      <c r="H16" s="43">
        <f t="shared" si="5"/>
        <v>6714.5628000000015</v>
      </c>
      <c r="I16" s="43">
        <f t="shared" si="5"/>
        <v>7093.4140560000051</v>
      </c>
      <c r="K16" s="63" t="s">
        <v>1</v>
      </c>
      <c r="L16" s="64">
        <f>C34</f>
        <v>378589.60581199272</v>
      </c>
    </row>
    <row r="17" spans="1:12" ht="19.5" thickBot="1" x14ac:dyDescent="0.35">
      <c r="A17" s="3"/>
      <c r="B17" s="50"/>
      <c r="C17" s="27"/>
      <c r="D17" s="32"/>
      <c r="E17" s="32"/>
      <c r="F17" s="32"/>
      <c r="G17" s="32"/>
      <c r="H17" s="32"/>
      <c r="I17" s="8"/>
      <c r="K17" s="65" t="s">
        <v>46</v>
      </c>
      <c r="L17" s="78">
        <f>C49</f>
        <v>306995.03102000547</v>
      </c>
    </row>
    <row r="18" spans="1:12" x14ac:dyDescent="0.3">
      <c r="A18" s="4" t="s">
        <v>22</v>
      </c>
      <c r="B18" s="53"/>
      <c r="C18" s="31">
        <f>-C20/I1</f>
        <v>760.21314387211373</v>
      </c>
      <c r="D18" s="44"/>
      <c r="E18" s="44"/>
      <c r="F18" s="44"/>
      <c r="G18" s="44"/>
      <c r="H18" s="44"/>
      <c r="I18" s="8"/>
    </row>
    <row r="19" spans="1:12" x14ac:dyDescent="0.3">
      <c r="A19" s="9" t="s">
        <v>21</v>
      </c>
      <c r="B19" s="54">
        <f>-D16/C20</f>
        <v>1.2317757009345794E-2</v>
      </c>
      <c r="C19" s="32"/>
      <c r="D19" s="32"/>
      <c r="E19" s="32"/>
      <c r="F19" s="32"/>
      <c r="G19" s="32"/>
      <c r="H19" s="32"/>
      <c r="I19" s="8"/>
    </row>
    <row r="20" spans="1:12" x14ac:dyDescent="0.3">
      <c r="A20" s="9" t="s">
        <v>20</v>
      </c>
      <c r="B20" s="48">
        <f>L2</f>
        <v>1</v>
      </c>
      <c r="C20" s="32">
        <f>-E1*B20</f>
        <v>-428000</v>
      </c>
      <c r="D20" s="27"/>
      <c r="E20" s="27"/>
      <c r="F20" s="27"/>
      <c r="G20" s="27"/>
      <c r="H20" s="27"/>
      <c r="I20" s="7"/>
    </row>
    <row r="21" spans="1:12" x14ac:dyDescent="0.3">
      <c r="A21" s="9" t="s">
        <v>15</v>
      </c>
      <c r="B21" s="85">
        <v>2000</v>
      </c>
      <c r="C21" s="32">
        <f>-B21</f>
        <v>-2000</v>
      </c>
      <c r="D21" s="27"/>
      <c r="E21" s="27"/>
      <c r="F21" s="27"/>
      <c r="G21" s="27"/>
      <c r="H21" s="27"/>
      <c r="I21" s="7"/>
    </row>
    <row r="22" spans="1:12" ht="19.5" thickBot="1" x14ac:dyDescent="0.35">
      <c r="A22" s="13"/>
      <c r="B22" s="49"/>
      <c r="C22" s="33">
        <f>C20+C21</f>
        <v>-430000</v>
      </c>
      <c r="D22" s="29"/>
      <c r="E22" s="29"/>
      <c r="F22" s="29"/>
      <c r="G22" s="29"/>
      <c r="H22" s="29"/>
      <c r="I22" s="7"/>
    </row>
    <row r="23" spans="1:12" x14ac:dyDescent="0.3">
      <c r="A23" s="3"/>
      <c r="B23" s="48"/>
      <c r="C23" s="32"/>
      <c r="D23" s="27"/>
      <c r="E23" s="27"/>
      <c r="F23" s="27"/>
      <c r="G23" s="27"/>
      <c r="H23" s="27"/>
      <c r="I23" s="7"/>
    </row>
    <row r="24" spans="1:12" x14ac:dyDescent="0.3">
      <c r="A24" s="4" t="s">
        <v>19</v>
      </c>
      <c r="B24" s="53"/>
      <c r="C24" s="26"/>
      <c r="D24" s="44"/>
      <c r="E24" s="44"/>
      <c r="F24" s="44"/>
      <c r="G24" s="44"/>
      <c r="H24" s="44"/>
      <c r="I24" s="8"/>
    </row>
    <row r="25" spans="1:12" x14ac:dyDescent="0.3">
      <c r="A25" s="3" t="s">
        <v>18</v>
      </c>
      <c r="B25" s="54">
        <f>B19-0.5%</f>
        <v>7.3177570093457935E-3</v>
      </c>
      <c r="C25" s="27"/>
      <c r="D25" s="27"/>
      <c r="E25" s="27"/>
      <c r="F25" s="27"/>
      <c r="G25" s="27"/>
      <c r="H25" s="32"/>
      <c r="I25" s="7"/>
    </row>
    <row r="26" spans="1:12" x14ac:dyDescent="0.3">
      <c r="A26" s="3" t="s">
        <v>17</v>
      </c>
      <c r="B26" s="50"/>
      <c r="C26" s="27"/>
      <c r="D26" s="27"/>
      <c r="E26" s="27"/>
      <c r="F26" s="27"/>
      <c r="G26" s="27"/>
      <c r="H26" s="32">
        <f>I16/B25</f>
        <v>969342.66154789354</v>
      </c>
      <c r="I26" s="7"/>
    </row>
    <row r="27" spans="1:12" x14ac:dyDescent="0.3">
      <c r="A27" s="3" t="s">
        <v>16</v>
      </c>
      <c r="B27" s="84">
        <v>0.05</v>
      </c>
      <c r="C27" s="27"/>
      <c r="D27" s="27"/>
      <c r="E27" s="27"/>
      <c r="F27" s="27"/>
      <c r="G27" s="27"/>
      <c r="H27" s="32">
        <f>-B27*H26</f>
        <v>-48467.133077394683</v>
      </c>
      <c r="I27" s="7"/>
    </row>
    <row r="28" spans="1:12" x14ac:dyDescent="0.3">
      <c r="A28" s="3" t="s">
        <v>15</v>
      </c>
      <c r="B28" s="85">
        <v>2000</v>
      </c>
      <c r="C28" s="27"/>
      <c r="D28" s="27"/>
      <c r="E28" s="27"/>
      <c r="F28" s="27"/>
      <c r="G28" s="27"/>
      <c r="H28" s="32">
        <f>-B28</f>
        <v>-2000</v>
      </c>
      <c r="I28" s="7"/>
    </row>
    <row r="29" spans="1:12" ht="19.5" thickBot="1" x14ac:dyDescent="0.35">
      <c r="A29" s="13"/>
      <c r="B29" s="55"/>
      <c r="C29" s="29"/>
      <c r="D29" s="29"/>
      <c r="E29" s="29"/>
      <c r="F29" s="29"/>
      <c r="G29" s="29"/>
      <c r="H29" s="33">
        <f>H26+H27+H28</f>
        <v>918875.52847049886</v>
      </c>
      <c r="I29" s="7"/>
    </row>
    <row r="30" spans="1:12" x14ac:dyDescent="0.3">
      <c r="A30" s="3"/>
      <c r="B30" s="51"/>
      <c r="C30" s="27"/>
      <c r="D30" s="27"/>
      <c r="E30" s="27"/>
      <c r="F30" s="27"/>
      <c r="G30" s="27"/>
      <c r="H30" s="32"/>
      <c r="I30" s="7"/>
    </row>
    <row r="31" spans="1:12" x14ac:dyDescent="0.3">
      <c r="A31" s="4" t="s">
        <v>14</v>
      </c>
      <c r="B31" s="56"/>
      <c r="C31" s="26"/>
      <c r="D31" s="26"/>
      <c r="E31" s="26"/>
      <c r="F31" s="26"/>
      <c r="G31" s="26"/>
      <c r="H31" s="44"/>
      <c r="I31" s="7"/>
    </row>
    <row r="32" spans="1:12" x14ac:dyDescent="0.3">
      <c r="A32" s="3" t="s">
        <v>13</v>
      </c>
      <c r="B32" s="50"/>
      <c r="C32" s="32">
        <f t="shared" ref="C32:H32" si="6">C16+C22+C29</f>
        <v>-430000</v>
      </c>
      <c r="D32" s="32">
        <f t="shared" si="6"/>
        <v>5272</v>
      </c>
      <c r="E32" s="32">
        <f t="shared" si="6"/>
        <v>5622</v>
      </c>
      <c r="F32" s="32">
        <f t="shared" si="6"/>
        <v>5979</v>
      </c>
      <c r="G32" s="32">
        <f t="shared" si="6"/>
        <v>6343.1400000000012</v>
      </c>
      <c r="H32" s="32">
        <f t="shared" si="6"/>
        <v>925590.09127049881</v>
      </c>
      <c r="I32" s="7"/>
    </row>
    <row r="33" spans="1:12" x14ac:dyDescent="0.3">
      <c r="A33" s="3" t="s">
        <v>2</v>
      </c>
      <c r="B33" s="50"/>
      <c r="C33" s="34">
        <f>IRR(C32:H32)</f>
        <v>0.17435193074703603</v>
      </c>
      <c r="D33" s="27"/>
      <c r="E33" s="27"/>
      <c r="F33" s="27"/>
      <c r="G33" s="27"/>
      <c r="H33" s="27"/>
      <c r="I33" s="7"/>
    </row>
    <row r="34" spans="1:12" ht="19.5" thickBot="1" x14ac:dyDescent="0.35">
      <c r="A34" s="12" t="s">
        <v>1</v>
      </c>
      <c r="B34" s="83">
        <v>0.03</v>
      </c>
      <c r="C34" s="35">
        <f>NPV(B34,C32:H32)</f>
        <v>378589.60581199272</v>
      </c>
      <c r="D34" s="30"/>
      <c r="E34" s="30"/>
      <c r="F34" s="30"/>
      <c r="G34" s="30"/>
      <c r="H34" s="30"/>
      <c r="I34" s="7"/>
    </row>
    <row r="35" spans="1:12" x14ac:dyDescent="0.3">
      <c r="D35" s="37"/>
      <c r="E35" s="37"/>
      <c r="F35" s="37"/>
      <c r="G35" s="37"/>
      <c r="H35" s="37"/>
    </row>
    <row r="36" spans="1:12" x14ac:dyDescent="0.3">
      <c r="A36" s="14" t="s">
        <v>12</v>
      </c>
      <c r="B36" s="15"/>
      <c r="C36" s="36"/>
      <c r="D36" s="36"/>
      <c r="E36" s="36"/>
      <c r="F36" s="36"/>
      <c r="G36" s="36"/>
      <c r="H36" s="36"/>
    </row>
    <row r="37" spans="1:12" x14ac:dyDescent="0.3">
      <c r="A37" s="16" t="s">
        <v>11</v>
      </c>
      <c r="B37" s="17">
        <f>L8</f>
        <v>0.95</v>
      </c>
      <c r="D37" s="37"/>
      <c r="E37" s="37"/>
      <c r="F37" s="37"/>
      <c r="G37" s="37"/>
      <c r="H37" s="37"/>
    </row>
    <row r="38" spans="1:12" x14ac:dyDescent="0.3">
      <c r="A38" s="16" t="s">
        <v>10</v>
      </c>
      <c r="B38" s="81">
        <v>0.02</v>
      </c>
      <c r="C38" s="38"/>
      <c r="D38" s="38"/>
      <c r="E38" s="38"/>
      <c r="F38" s="38"/>
      <c r="G38" s="38"/>
      <c r="H38" s="38"/>
    </row>
    <row r="39" spans="1:12" x14ac:dyDescent="0.3">
      <c r="A39" s="16" t="s">
        <v>9</v>
      </c>
      <c r="B39" s="82">
        <v>30</v>
      </c>
      <c r="C39" s="38"/>
      <c r="D39" s="38"/>
      <c r="E39" s="38"/>
      <c r="F39" s="38"/>
      <c r="G39" s="38"/>
      <c r="H39" s="38"/>
    </row>
    <row r="40" spans="1:12" x14ac:dyDescent="0.3">
      <c r="A40" s="16" t="s">
        <v>8</v>
      </c>
      <c r="C40" s="39">
        <f>-C22-C41</f>
        <v>21500</v>
      </c>
      <c r="D40" s="38"/>
      <c r="E40" s="38"/>
      <c r="F40" s="38"/>
      <c r="G40" s="38"/>
      <c r="H40" s="38"/>
    </row>
    <row r="41" spans="1:12" x14ac:dyDescent="0.3">
      <c r="A41" s="16" t="s">
        <v>7</v>
      </c>
      <c r="C41" s="39">
        <f>-B37*C22</f>
        <v>408500</v>
      </c>
      <c r="D41" s="38"/>
      <c r="E41" s="38"/>
      <c r="F41" s="38"/>
      <c r="G41" s="38"/>
      <c r="H41" s="38"/>
    </row>
    <row r="42" spans="1:12" x14ac:dyDescent="0.3">
      <c r="A42" s="16" t="s">
        <v>6</v>
      </c>
      <c r="C42" s="38"/>
      <c r="D42" s="39">
        <f>PMT(B38/12,B39*12,C41)*12</f>
        <v>-18118.746551205983</v>
      </c>
      <c r="E42" s="39">
        <f>D42</f>
        <v>-18118.746551205983</v>
      </c>
      <c r="F42" s="39">
        <f>E42</f>
        <v>-18118.746551205983</v>
      </c>
      <c r="G42" s="39">
        <f>F42</f>
        <v>-18118.746551205983</v>
      </c>
      <c r="H42" s="39">
        <f>G42</f>
        <v>-18118.746551205983</v>
      </c>
    </row>
    <row r="43" spans="1:12" x14ac:dyDescent="0.3">
      <c r="A43" s="16" t="s">
        <v>5</v>
      </c>
      <c r="C43" s="38"/>
      <c r="D43" s="38"/>
      <c r="E43" s="38"/>
      <c r="F43" s="38"/>
      <c r="G43" s="38"/>
      <c r="H43" s="39">
        <f>-C41+(H42/2)*6</f>
        <v>-462856.23965361796</v>
      </c>
    </row>
    <row r="44" spans="1:12" ht="19.5" thickBot="1" x14ac:dyDescent="0.35">
      <c r="A44" s="19"/>
      <c r="B44" s="20"/>
      <c r="C44" s="40">
        <f t="shared" ref="C44:H44" si="7">SUM(C41:C43)</f>
        <v>408500</v>
      </c>
      <c r="D44" s="40">
        <f t="shared" si="7"/>
        <v>-18118.746551205983</v>
      </c>
      <c r="E44" s="40">
        <f t="shared" si="7"/>
        <v>-18118.746551205983</v>
      </c>
      <c r="F44" s="40">
        <f t="shared" si="7"/>
        <v>-18118.746551205983</v>
      </c>
      <c r="G44" s="40">
        <f t="shared" si="7"/>
        <v>-18118.746551205983</v>
      </c>
      <c r="H44" s="40">
        <f t="shared" si="7"/>
        <v>-480974.98620482394</v>
      </c>
    </row>
    <row r="45" spans="1:12" x14ac:dyDescent="0.3">
      <c r="A45" s="21"/>
      <c r="B45" s="22"/>
      <c r="C45" s="41"/>
      <c r="D45" s="45"/>
      <c r="E45" s="41"/>
      <c r="F45" s="41"/>
      <c r="G45" s="41"/>
      <c r="H45" s="41"/>
    </row>
    <row r="46" spans="1:12" x14ac:dyDescent="0.3">
      <c r="A46" s="23" t="s">
        <v>4</v>
      </c>
      <c r="B46" s="24"/>
      <c r="C46" s="42"/>
      <c r="D46" s="42"/>
      <c r="E46" s="42"/>
      <c r="F46" s="42"/>
      <c r="G46" s="42"/>
      <c r="H46" s="46"/>
      <c r="K46" s="16"/>
      <c r="L46" s="16"/>
    </row>
    <row r="47" spans="1:12" s="16" customFormat="1" x14ac:dyDescent="0.3">
      <c r="A47" s="3" t="s">
        <v>3</v>
      </c>
      <c r="B47" s="11"/>
      <c r="C47" s="32">
        <f t="shared" ref="C47:H47" si="8">C32+C44</f>
        <v>-21500</v>
      </c>
      <c r="D47" s="32">
        <f t="shared" si="8"/>
        <v>-12846.746551205983</v>
      </c>
      <c r="E47" s="32">
        <f t="shared" si="8"/>
        <v>-12496.746551205983</v>
      </c>
      <c r="F47" s="32">
        <f t="shared" si="8"/>
        <v>-12139.746551205983</v>
      </c>
      <c r="G47" s="32">
        <f t="shared" si="8"/>
        <v>-11775.606551205981</v>
      </c>
      <c r="H47" s="32">
        <f t="shared" si="8"/>
        <v>444615.10506567487</v>
      </c>
      <c r="K47" s="1"/>
      <c r="L47" s="1"/>
    </row>
    <row r="48" spans="1:12" x14ac:dyDescent="0.3">
      <c r="A48" s="3" t="s">
        <v>2</v>
      </c>
      <c r="B48" s="11"/>
      <c r="C48" s="34">
        <f>IRR(C47:H47)</f>
        <v>0.63085852961297562</v>
      </c>
      <c r="D48" s="27"/>
      <c r="E48" s="27"/>
      <c r="F48" s="27"/>
      <c r="G48" s="27"/>
      <c r="H48" s="27"/>
    </row>
    <row r="49" spans="1:8" ht="19.5" thickBot="1" x14ac:dyDescent="0.35">
      <c r="A49" s="12" t="s">
        <v>1</v>
      </c>
      <c r="B49" s="59">
        <f>B34</f>
        <v>0.03</v>
      </c>
      <c r="C49" s="35">
        <f>NPV(B49,C47:H47)</f>
        <v>306995.03102000547</v>
      </c>
      <c r="D49" s="30"/>
      <c r="E49" s="30"/>
      <c r="F49" s="30"/>
      <c r="G49" s="30"/>
      <c r="H49" s="30"/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Alia Alwaid</dc:creator>
  <cp:lastModifiedBy>conor</cp:lastModifiedBy>
  <dcterms:created xsi:type="dcterms:W3CDTF">2017-10-08T02:25:49Z</dcterms:created>
  <dcterms:modified xsi:type="dcterms:W3CDTF">2018-11-05T23:29:29Z</dcterms:modified>
</cp:coreProperties>
</file>