
<file path=[Content_Types].xml><?xml version="1.0" encoding="utf-8"?>
<Types xmlns="http://schemas.openxmlformats.org/package/2006/content-types"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autoCompressPictures="0"/>
  <bookViews>
    <workbookView xWindow="0" yWindow="20" windowWidth="25140" windowHeight="10720" firstSheet="5" activeTab="8"/>
  </bookViews>
  <sheets>
    <sheet name="Q7" sheetId="6" r:id="rId1"/>
    <sheet name="Q7b" sheetId="5" r:id="rId2"/>
    <sheet name="Q7c" sheetId="4" r:id="rId3"/>
    <sheet name="C7 Questions" sheetId="1" r:id="rId4"/>
    <sheet name="Q8a" sheetId="7" r:id="rId5"/>
    <sheet name="Q8b" sheetId="8" r:id="rId6"/>
    <sheet name="Q8c" sheetId="9" r:id="rId7"/>
    <sheet name="C8 Questions" sheetId="2" r:id="rId8"/>
    <sheet name="Q9a" sheetId="10" r:id="rId9"/>
    <sheet name="Q9b" sheetId="11" r:id="rId10"/>
    <sheet name="C9 Questions" sheetId="3" r:id="rId1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11" l="1"/>
  <c r="D11" i="11"/>
  <c r="D10" i="11"/>
  <c r="M15" i="11"/>
  <c r="L15" i="11"/>
  <c r="M12" i="11"/>
  <c r="L12" i="11"/>
  <c r="M9" i="11"/>
  <c r="L9" i="11"/>
  <c r="H11" i="11"/>
  <c r="H12" i="11"/>
  <c r="H13" i="11"/>
  <c r="H14" i="11"/>
  <c r="H10" i="11"/>
  <c r="G11" i="11"/>
  <c r="G12" i="11"/>
  <c r="G13" i="11"/>
  <c r="G14" i="11"/>
  <c r="G10" i="11"/>
  <c r="C14" i="11"/>
  <c r="C11" i="11"/>
  <c r="C10" i="11"/>
  <c r="B15" i="11"/>
  <c r="B12" i="11"/>
  <c r="B11" i="11"/>
  <c r="B10" i="11"/>
  <c r="D8" i="10"/>
  <c r="D4" i="10"/>
  <c r="D5" i="10"/>
  <c r="D6" i="10"/>
  <c r="D7" i="10"/>
  <c r="D3" i="10"/>
  <c r="B24" i="10"/>
  <c r="C24" i="10"/>
  <c r="B20" i="10"/>
  <c r="C20" i="10"/>
  <c r="B21" i="10"/>
  <c r="C21" i="10"/>
  <c r="B22" i="10"/>
  <c r="C22" i="10"/>
  <c r="B23" i="10"/>
  <c r="C23" i="10"/>
  <c r="C19" i="10"/>
  <c r="B19" i="10"/>
  <c r="C11" i="10"/>
  <c r="B11" i="10"/>
  <c r="C9" i="10"/>
  <c r="B9" i="10"/>
  <c r="F14" i="9"/>
  <c r="F13" i="9"/>
  <c r="C14" i="8"/>
  <c r="B14" i="8"/>
  <c r="A16" i="8"/>
  <c r="I11" i="8"/>
  <c r="H11" i="8"/>
  <c r="G11" i="8"/>
  <c r="B20" i="7"/>
  <c r="B16" i="7"/>
  <c r="B17" i="7"/>
  <c r="M12" i="7"/>
  <c r="B9" i="4"/>
  <c r="H26" i="5"/>
  <c r="H25" i="5"/>
  <c r="H23" i="5"/>
  <c r="E12" i="6"/>
  <c r="E11" i="6"/>
  <c r="F10" i="6"/>
  <c r="D12" i="6"/>
  <c r="D11" i="6"/>
  <c r="C26" i="5"/>
  <c r="C25" i="5"/>
  <c r="C23" i="5"/>
  <c r="K13" i="5"/>
  <c r="G17" i="5"/>
  <c r="G16" i="5"/>
  <c r="G15" i="5"/>
  <c r="B15" i="5"/>
  <c r="D13" i="5"/>
  <c r="C11" i="6"/>
  <c r="D8" i="6"/>
  <c r="C69" i="3"/>
  <c r="B69" i="3"/>
  <c r="C65" i="3"/>
  <c r="B65" i="3"/>
  <c r="C61" i="3"/>
  <c r="B61" i="3"/>
  <c r="H37" i="3"/>
  <c r="H38" i="3"/>
  <c r="H39" i="3"/>
  <c r="H40" i="3"/>
  <c r="H41" i="3"/>
  <c r="G38" i="3"/>
  <c r="G39" i="3"/>
  <c r="G40" i="3"/>
  <c r="G41" i="3"/>
  <c r="G37" i="3"/>
  <c r="G52" i="3"/>
  <c r="G53" i="3"/>
  <c r="G54" i="3"/>
  <c r="G56" i="3"/>
  <c r="H52" i="3"/>
  <c r="H53" i="3"/>
  <c r="C52" i="3"/>
  <c r="C53" i="3"/>
  <c r="C55" i="3"/>
  <c r="B52" i="3"/>
  <c r="B53" i="3"/>
  <c r="B54" i="3"/>
  <c r="B56" i="3"/>
  <c r="B27" i="3"/>
  <c r="C27" i="3"/>
  <c r="B28" i="3"/>
  <c r="C28" i="3"/>
  <c r="B29" i="3"/>
  <c r="C29" i="3"/>
  <c r="B30" i="3"/>
  <c r="C30" i="3"/>
  <c r="C26" i="3"/>
  <c r="B26" i="3"/>
  <c r="D4" i="3"/>
  <c r="D3" i="3"/>
  <c r="D5" i="3"/>
  <c r="D6" i="3"/>
  <c r="D7" i="3"/>
  <c r="B19" i="3"/>
  <c r="C16" i="3"/>
  <c r="B16" i="3"/>
  <c r="C13" i="3"/>
  <c r="B13" i="3"/>
  <c r="M38" i="2"/>
  <c r="G34" i="2"/>
  <c r="B35" i="2"/>
  <c r="G14" i="2"/>
  <c r="H14" i="2"/>
  <c r="I14" i="2"/>
  <c r="H25" i="2"/>
  <c r="E19" i="2"/>
  <c r="E21" i="2"/>
  <c r="D20" i="2"/>
  <c r="E20" i="2"/>
  <c r="C20" i="2"/>
  <c r="J14" i="2"/>
  <c r="K14" i="2"/>
  <c r="L14" i="2"/>
  <c r="K8" i="2"/>
  <c r="B9" i="2"/>
  <c r="M4" i="2"/>
  <c r="N4" i="2"/>
  <c r="O4" i="2"/>
  <c r="P4" i="2"/>
  <c r="C56" i="1"/>
  <c r="D53" i="1"/>
  <c r="C40" i="1"/>
  <c r="E39" i="1"/>
  <c r="E38" i="1"/>
  <c r="C34" i="1"/>
  <c r="C41" i="1"/>
  <c r="E31" i="1"/>
  <c r="C30" i="1"/>
  <c r="C35" i="1"/>
  <c r="E35" i="1"/>
  <c r="I26" i="1"/>
  <c r="I24" i="1"/>
  <c r="E25" i="1"/>
  <c r="E26" i="1"/>
  <c r="C27" i="1"/>
  <c r="I25" i="1"/>
  <c r="G10" i="1"/>
  <c r="G11" i="1"/>
  <c r="C10" i="1"/>
  <c r="C11" i="1"/>
  <c r="C7" i="1"/>
  <c r="H55" i="3"/>
  <c r="B22" i="2"/>
  <c r="M14" i="2"/>
  <c r="N14" i="2"/>
  <c r="O14" i="2"/>
  <c r="C43" i="1"/>
  <c r="I27" i="1"/>
  <c r="M23" i="1"/>
</calcChain>
</file>

<file path=xl/sharedStrings.xml><?xml version="1.0" encoding="utf-8"?>
<sst xmlns="http://schemas.openxmlformats.org/spreadsheetml/2006/main" count="318" uniqueCount="219">
  <si>
    <t>ABC Company wants to generate $16,000,000 in a new bond issue.  It plans to issue bonds with a par value of $4,000.</t>
  </si>
  <si>
    <t>a)</t>
  </si>
  <si>
    <t>Total value</t>
  </si>
  <si>
    <t>Value per bond</t>
  </si>
  <si>
    <t>Total bonds</t>
  </si>
  <si>
    <t>b)</t>
  </si>
  <si>
    <t>Price</t>
  </si>
  <si>
    <t>Price of 1 bond</t>
  </si>
  <si>
    <t>(remember this is a % of par…)</t>
  </si>
  <si>
    <t>Price of 5 bonds</t>
  </si>
  <si>
    <t>XYZ Company is issuing bonds today with a face value of $2,000, a coupon rate of 7.8%, making semi-annual payments, and a 25 year maturity.</t>
  </si>
  <si>
    <t xml:space="preserve">Will the current YTM be higher or lower than the coupon rate?  </t>
  </si>
  <si>
    <t>What is the current (semi-annual) YTM?</t>
  </si>
  <si>
    <t xml:space="preserve">What is the current price of the bond?  </t>
  </si>
  <si>
    <t xml:space="preserve">Treasury bills are currently selling in the market at 14%.  </t>
  </si>
  <si>
    <t xml:space="preserve">If the real rate of interest is 8%, what is the approximate inflation rate?  </t>
  </si>
  <si>
    <t xml:space="preserve">Is this a good approximation?  </t>
  </si>
  <si>
    <t>Why (or why not)?</t>
  </si>
  <si>
    <t>What is the real inflation rate?</t>
  </si>
  <si>
    <t>FV</t>
  </si>
  <si>
    <t>Coupon Rate = YTM on issue</t>
  </si>
  <si>
    <t>semi</t>
  </si>
  <si>
    <t>PMT</t>
  </si>
  <si>
    <t>per semi</t>
  </si>
  <si>
    <t>NPER</t>
  </si>
  <si>
    <t>yrs</t>
  </si>
  <si>
    <t>semis</t>
  </si>
  <si>
    <t>PV</t>
  </si>
  <si>
    <t>The lump sum is worth $1388.05</t>
  </si>
  <si>
    <t>Annuity portion</t>
  </si>
  <si>
    <t>YTM</t>
  </si>
  <si>
    <t>Lump sum</t>
  </si>
  <si>
    <t xml:space="preserve">c)  </t>
  </si>
  <si>
    <t>The annuity stream of interest pmts is worth $1704.71</t>
  </si>
  <si>
    <t>Combined they are worth $2000.</t>
  </si>
  <si>
    <t>Yes, this makes sense.</t>
  </si>
  <si>
    <t>The price I would be willing to pay for the bond on the day it is issued is it's face value - and this represents the PV of all of the future cash flows I will receive by owning this bond.</t>
  </si>
  <si>
    <t>d)</t>
  </si>
  <si>
    <t xml:space="preserve">YTM  </t>
  </si>
  <si>
    <t>The YTM is currently 8.43%</t>
  </si>
  <si>
    <t>e)</t>
  </si>
  <si>
    <t>Rates are now less than the coupon rate so price has gone up - bond will be selling at a premium…</t>
  </si>
  <si>
    <t>Price has gone down, so rates have to have gone up…YTM will be higher than the coupon rate…</t>
  </si>
  <si>
    <r>
      <t>a)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How many bonds does ABC Company have to issue?</t>
    </r>
  </si>
  <si>
    <r>
      <t>b)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want to buy 5 bonds, and the broker is quoting a price of 102.85, how much will your bonds cost?  At a price of 99.25?</t>
    </r>
  </si>
  <si>
    <r>
      <t>a)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What is the present value of the lump sum payment?</t>
    </r>
  </si>
  <si>
    <r>
      <t>b)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Calculate the present value of the annuity portion of the bond.</t>
    </r>
  </si>
  <si>
    <r>
      <t>c)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What is the value of the lump sum and annuity combined?  Does this make sense?  Why?</t>
    </r>
  </si>
  <si>
    <r>
      <t>d)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 xml:space="preserve">5 years have passed.  The price of the bond is now $1,880.  </t>
    </r>
  </si>
  <si>
    <r>
      <t>e)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 xml:space="preserve">There are 5 years left until the bond matures, and the market rates are now 6.2%.  Is this bond selling at a premium or a discount?  </t>
    </r>
  </si>
  <si>
    <t>h=R-r</t>
  </si>
  <si>
    <t>Real rate of interest</t>
  </si>
  <si>
    <t>T-Bill rate</t>
  </si>
  <si>
    <t>Inflation Rate (approx)</t>
  </si>
  <si>
    <t>The approximate inflation rate is 6%.  This is not a good approximation b/c the values are relatively large and so the effect of inflation on the real rate is material.</t>
  </si>
  <si>
    <t>(1+h)=(1+R)/(1+r)</t>
  </si>
  <si>
    <t>h</t>
  </si>
  <si>
    <t>The real inflation rate is 5.56%</t>
  </si>
  <si>
    <t>Yr</t>
  </si>
  <si>
    <t>Dividends</t>
  </si>
  <si>
    <t>growth</t>
  </si>
  <si>
    <t>rate</t>
  </si>
  <si>
    <t>Dividends become predictable at D(10)</t>
  </si>
  <si>
    <t>Sell Stock at P(9)</t>
  </si>
  <si>
    <t>P(9)=D(10)/(r-g)</t>
  </si>
  <si>
    <t>P(0) = PV</t>
  </si>
  <si>
    <t>The stock is currently worth $38.04</t>
  </si>
  <si>
    <r>
      <t>Metallica Bearings Inc. is a young start-up company.  No dividends will be paid on the stock over the next nine years because the firm needs to plow back its earnings to fuel growth.  The company will pay an $8 per share dividend in 10 years and will increase the dividend by 6% per year, thereafter.  If the required return on this stock is 13%, what is the current share price?  What is the price of the stock at P</t>
    </r>
    <r>
      <rPr>
        <vertAlign val="subscript"/>
        <sz val="12"/>
        <color rgb="FF0070C0"/>
        <rFont val="Times New Roman"/>
        <family val="1"/>
      </rPr>
      <t>11.</t>
    </r>
  </si>
  <si>
    <t>Dividends become predictable at D(4)</t>
  </si>
  <si>
    <t>Sell Stock at P(3)</t>
  </si>
  <si>
    <t>P(3)=D(4)/(r-g)</t>
  </si>
  <si>
    <t>PV Dividends</t>
  </si>
  <si>
    <t>PV Sell stock</t>
  </si>
  <si>
    <t>The stock is currently worth $31.18</t>
  </si>
  <si>
    <t>P(6)=D(7)/(r-g)</t>
  </si>
  <si>
    <t>The price of the stock in 6 years is $28.94.</t>
  </si>
  <si>
    <r>
      <t>South Side Corporation is expected to pay the following dividends over the next four years:  $8, $6, $3, and $2.  Afterwards, the company pledges to maintain a constant 5% growth rate in dividends, forever.  If the required return on the stock is 13%, what is the current share price?  What is the price of the stock at P</t>
    </r>
    <r>
      <rPr>
        <vertAlign val="subscript"/>
        <sz val="12"/>
        <color rgb="FF0070C0"/>
        <rFont val="Times New Roman"/>
        <family val="1"/>
      </rPr>
      <t>6</t>
    </r>
  </si>
  <si>
    <r>
      <t>Mark Bank just issued some new preferred stock.  The issue will pay a $9 annual dividend in perpetuity, beginning six years from now.  If the market requires a 7% return on this investment, how much does a share of preferred stock cost today?  What is the price of the stock at P</t>
    </r>
    <r>
      <rPr>
        <vertAlign val="subscript"/>
        <sz val="12"/>
        <color rgb="FF0070C0"/>
        <rFont val="Times New Roman"/>
        <family val="1"/>
      </rPr>
      <t>11.</t>
    </r>
  </si>
  <si>
    <t>Dividends become predictable at D(6)</t>
  </si>
  <si>
    <t>Sell Stock at P(5)</t>
  </si>
  <si>
    <t>P(5)=D(6)/(r-g)</t>
  </si>
  <si>
    <t>The stock is currently worth $91.57</t>
  </si>
  <si>
    <t>P(11)=D(12)/(r-g)</t>
  </si>
  <si>
    <t>The price of the stock in 11 years is $128.57.</t>
  </si>
  <si>
    <t>Bumble’s Bees, Inc., has identified the following two mutually exclusive projects:</t>
  </si>
  <si>
    <t>Year</t>
  </si>
  <si>
    <t>Cash Flow (A)</t>
  </si>
  <si>
    <t>Cash Flow (B)</t>
  </si>
  <si>
    <t>Consider the following two mutually exclusive projects:</t>
  </si>
  <si>
    <t>Whichever project you choose, if any, you require a 15% return on your investment.</t>
  </si>
  <si>
    <t>IRR</t>
  </si>
  <si>
    <t>NPV at 11%</t>
  </si>
  <si>
    <r>
      <t>a)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What is the IRR for each of these projects?  If you apply the IRR decision rule, which project should the company accept?  Is this decision necessarily correct?</t>
    </r>
  </si>
  <si>
    <r>
      <t>b)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the required return is 11%, what is the NPV for each of these projects?  Which project will you choose if you apply the NPV decision rule?</t>
    </r>
  </si>
  <si>
    <r>
      <t>c)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Over what range of discount rates would you choose Project A?  Project B?  At what discount rate would you be indifferent between these two projects?  Sketch the NPV profiles for A&amp;B over a range of discount rates from 0 to 25% to demonstrate your answer.</t>
    </r>
  </si>
  <si>
    <t>Based on IRR, company should accept Project A (IRRA&gt;IRRB).  No, this decision is not necessarily correct, b/c with mutually exclusive projects, IRR is unreliable.</t>
  </si>
  <si>
    <t>B</t>
  </si>
  <si>
    <t>Based on the NPV decision rule, would choose Project B b/c at at required rate of return of 11%, NPVB&gt;NPVA</t>
  </si>
  <si>
    <t>c)</t>
  </si>
  <si>
    <t>Calculate crossover Rate</t>
  </si>
  <si>
    <t>(A-B)</t>
  </si>
  <si>
    <t>IRR (A-B)</t>
  </si>
  <si>
    <t>From 0% to 13.75%, choose project B</t>
  </si>
  <si>
    <t>at 13.75%, you would be indifferent between the two projects - their NPV is equal</t>
  </si>
  <si>
    <t>Above 13.75% until 16.60%, you would choose Project A</t>
  </si>
  <si>
    <t>Above 16.60%, you would choose neither.</t>
  </si>
  <si>
    <t>…this question does not ask you to draw NPV profiles…but if you wanted to show/prove it to yourself…</t>
  </si>
  <si>
    <t>Rate</t>
  </si>
  <si>
    <t>NPVA</t>
  </si>
  <si>
    <t>NPVB</t>
  </si>
  <si>
    <r>
      <t>a)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apply the payback criterion, which investment will you choose?  Why?</t>
    </r>
  </si>
  <si>
    <r>
      <t>b)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apply the discounted payback criterion, which investment will you choose?  Why?</t>
    </r>
  </si>
  <si>
    <r>
      <t>c)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apply the NPV criterion, which investment will you choose?  Why?</t>
    </r>
  </si>
  <si>
    <r>
      <t>d)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apply the IRR criterion, which investment will you choose?  Why?</t>
    </r>
  </si>
  <si>
    <r>
      <t>e)</t>
    </r>
    <r>
      <rPr>
        <sz val="7"/>
        <color rgb="FF0070C0"/>
        <rFont val="Times New Roman"/>
        <family val="1"/>
      </rPr>
      <t xml:space="preserve">     </t>
    </r>
    <r>
      <rPr>
        <sz val="12"/>
        <color rgb="FF0070C0"/>
        <rFont val="Times New Roman"/>
        <family val="1"/>
      </rPr>
      <t>If you apply the profitability index criterion, which investment will you choose?  Why?</t>
    </r>
  </si>
  <si>
    <r>
      <t>f)</t>
    </r>
    <r>
      <rPr>
        <sz val="7"/>
        <color rgb="FF0070C0"/>
        <rFont val="Times New Roman"/>
        <family val="1"/>
      </rPr>
      <t xml:space="preserve">      </t>
    </r>
    <r>
      <rPr>
        <sz val="12"/>
        <color rgb="FF0070C0"/>
        <rFont val="Times New Roman"/>
        <family val="1"/>
      </rPr>
      <t>Based on your answers in (a) through (e), which project will you finally choose?  Why?</t>
    </r>
  </si>
  <si>
    <t xml:space="preserve">a) </t>
  </si>
  <si>
    <t>PBP</t>
  </si>
  <si>
    <t>A</t>
  </si>
  <si>
    <t>Yr1</t>
  </si>
  <si>
    <t>YR2</t>
  </si>
  <si>
    <t>Yr3</t>
  </si>
  <si>
    <t>Yr4</t>
  </si>
  <si>
    <t>+</t>
  </si>
  <si>
    <t>3.36 yrs</t>
  </si>
  <si>
    <t>2.09 yrs</t>
  </si>
  <si>
    <t>Based on PBP, would choose Project B b/c PBPB&lt;PBPA</t>
  </si>
  <si>
    <t>PV(A)</t>
  </si>
  <si>
    <t>PV(B)</t>
  </si>
  <si>
    <t>Based on DPBP would choose Project B b/c DPBPB&lt;DPBPA</t>
  </si>
  <si>
    <t>NPV</t>
  </si>
  <si>
    <t>3.73 yrs</t>
  </si>
  <si>
    <t>2.64 yrs</t>
  </si>
  <si>
    <t>Based on NPV, I would choose Project A b/c NPVA&gt;NPVB</t>
  </si>
  <si>
    <t>Based on IRR, I would choose Project B b/c IRRB&gt;IRRA</t>
  </si>
  <si>
    <t>PI</t>
  </si>
  <si>
    <t>Based on PI, I would choose Project B b/c PIB&gt;PIA</t>
  </si>
  <si>
    <t>f)</t>
  </si>
  <si>
    <t>Overall, I would choose Project A.  Project A provides the highest possible NPV at our required rate of return, thus provides the greatest potential added value to the firm.  (AKA…b/c NPV is king!)</t>
  </si>
  <si>
    <r>
      <t>a)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How many bonds does ABC Company have to issue?</t>
    </r>
  </si>
  <si>
    <r>
      <t>b)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>If you want to buy 5 bonds, and the broker is quoting a price of 102.85, how much will your bonds cost?  At a price of 99.25?</t>
    </r>
  </si>
  <si>
    <t>value per bond</t>
  </si>
  <si>
    <t># bonds</t>
  </si>
  <si>
    <t>toal value/value per bond</t>
  </si>
  <si>
    <t>1bond</t>
  </si>
  <si>
    <t>buy5</t>
  </si>
  <si>
    <t>price</t>
  </si>
  <si>
    <r>
      <t>a)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What is the present value of the lump sum payment?</t>
    </r>
  </si>
  <si>
    <r>
      <t>b)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>Calculate the present value of the annuity portion of the bond.</t>
    </r>
  </si>
  <si>
    <r>
      <t>c)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What is the value of the lump sum and annuity combined?  Does this make sense?  Why?</t>
    </r>
  </si>
  <si>
    <r>
      <t>d)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 xml:space="preserve">5 years have passed.  The price of the bond is now $1,880.  </t>
    </r>
  </si>
  <si>
    <r>
      <t>e)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 xml:space="preserve">There are 5 years left until the bond matures, and the market rates are now 6.2%.  Is this bond selling at a premium or a discount?  </t>
    </r>
  </si>
  <si>
    <t>Fv</t>
  </si>
  <si>
    <t>coupon rate</t>
  </si>
  <si>
    <t>nper</t>
  </si>
  <si>
    <t>bonds today have ytm of coupon rate</t>
  </si>
  <si>
    <t>pv</t>
  </si>
  <si>
    <t>annuity poertion or interesst</t>
  </si>
  <si>
    <t>pmnt</t>
  </si>
  <si>
    <t>annuity pv</t>
  </si>
  <si>
    <t>coupon pmt</t>
  </si>
  <si>
    <t>fv</t>
  </si>
  <si>
    <t>ytm</t>
  </si>
  <si>
    <t>5bonds</t>
  </si>
  <si>
    <t>R</t>
  </si>
  <si>
    <t>r</t>
  </si>
  <si>
    <t>h approx</t>
  </si>
  <si>
    <t>fisher effect</t>
  </si>
  <si>
    <t>not good aprox bc r, h are not to small so r*h is material</t>
  </si>
  <si>
    <t>h?</t>
  </si>
  <si>
    <t>(1+r)=(1+r)(1+h)</t>
  </si>
  <si>
    <t>yr0</t>
  </si>
  <si>
    <t>yr1</t>
  </si>
  <si>
    <t>yr2</t>
  </si>
  <si>
    <t>yr3</t>
  </si>
  <si>
    <t>yr4</t>
  </si>
  <si>
    <t>yr5</t>
  </si>
  <si>
    <t>yr6</t>
  </si>
  <si>
    <t>yr7</t>
  </si>
  <si>
    <t>yr8</t>
  </si>
  <si>
    <t>yr9</t>
  </si>
  <si>
    <t>yr10</t>
  </si>
  <si>
    <t>yr11</t>
  </si>
  <si>
    <t>yr12</t>
  </si>
  <si>
    <t>CFS</t>
  </si>
  <si>
    <t>Growth rate</t>
  </si>
  <si>
    <t>(p0)</t>
  </si>
  <si>
    <t>p9</t>
  </si>
  <si>
    <t>d12</t>
  </si>
  <si>
    <t>dividends</t>
  </si>
  <si>
    <t>p3</t>
  </si>
  <si>
    <t>yr</t>
  </si>
  <si>
    <t>div</t>
  </si>
  <si>
    <t>p5</t>
  </si>
  <si>
    <t>g</t>
  </si>
  <si>
    <r>
      <t>a)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What is the IRR for each of these projects?  If you apply the IRR decision rule, which project should the company accept?  Is this decision necessarily correct?</t>
    </r>
  </si>
  <si>
    <r>
      <t>b)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>If the required return is 11%, what is the NPV for each of these projects?  Which project will you choose if you apply the NPV decision rule?</t>
    </r>
  </si>
  <si>
    <r>
      <t>c)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Over what range of discount rates would you choose Project A?  Project B?  At what discount rate would you be indifferent between these two projects?  Sketch the NPV profiles for A&amp;B over a range of discount rates from 0 to 25% to demonstrate your answer.</t>
    </r>
  </si>
  <si>
    <r>
      <t>a)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If you apply the payback criterion, which investment will you choose?  Why?</t>
    </r>
  </si>
  <si>
    <r>
      <t>b)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>If you apply the discounted payback criterion, which investment will you choose?  Why?</t>
    </r>
  </si>
  <si>
    <r>
      <t>c)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If you apply the NPV criterion, which investment will you choose?  Why?</t>
    </r>
  </si>
  <si>
    <r>
      <t>d)</t>
    </r>
    <r>
      <rPr>
        <sz val="7"/>
        <color theme="1"/>
        <rFont val="Times New Roman"/>
      </rPr>
      <t xml:space="preserve">    </t>
    </r>
    <r>
      <rPr>
        <sz val="12"/>
        <color theme="1"/>
        <rFont val="Times New Roman"/>
        <family val="1"/>
      </rPr>
      <t>If you apply the IRR criterion, which investment will you choose?  Why?</t>
    </r>
  </si>
  <si>
    <r>
      <t>e)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If you apply the profitability index criterion, which investment will you choose?  Why?</t>
    </r>
  </si>
  <si>
    <r>
      <t>f)</t>
    </r>
    <r>
      <rPr>
        <sz val="7"/>
        <color theme="1"/>
        <rFont val="Times New Roman"/>
      </rPr>
      <t xml:space="preserve">     </t>
    </r>
    <r>
      <rPr>
        <sz val="12"/>
        <color theme="1"/>
        <rFont val="Times New Roman"/>
        <family val="1"/>
      </rPr>
      <t>Based on your answers in (a) through (e), which project will you finally choose?  Why?</t>
    </r>
  </si>
  <si>
    <t>.</t>
  </si>
  <si>
    <t>RR</t>
  </si>
  <si>
    <t>Rates</t>
  </si>
  <si>
    <t>Project A</t>
  </si>
  <si>
    <t>Projects B</t>
  </si>
  <si>
    <t>A-B</t>
  </si>
  <si>
    <t>Cross over point</t>
  </si>
  <si>
    <t>end yr1</t>
  </si>
  <si>
    <t>end yr2</t>
  </si>
  <si>
    <t>end yr3</t>
  </si>
  <si>
    <t>end yr4</t>
  </si>
  <si>
    <t>end yr5</t>
  </si>
  <si>
    <t>Discount payback</t>
  </si>
  <si>
    <t>DiscountedA</t>
  </si>
  <si>
    <t>Discountedb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</si>
</sst>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7"/>
      <color rgb="FF0070C0"/>
      <name val="Times New Roman"/>
      <family val="1"/>
    </font>
    <font>
      <vertAlign val="subscript"/>
      <sz val="12"/>
      <color rgb="FF0070C0"/>
      <name val="Times New Roman"/>
      <family val="1"/>
    </font>
    <font>
      <u/>
      <sz val="12"/>
      <color rgb="FF0070C0"/>
      <name val="Times New Roman"/>
      <family val="1"/>
    </font>
    <font>
      <sz val="11"/>
      <name val="Calibri"/>
      <family val="2"/>
      <scheme val="minor"/>
    </font>
    <font>
      <sz val="7"/>
      <color theme="1"/>
      <name val="Times New Roman"/>
    </font>
    <font>
      <b/>
      <sz val="11"/>
      <color theme="1"/>
      <name val="Calibri"/>
      <scheme val="minor"/>
    </font>
    <font>
      <u/>
      <sz val="12"/>
      <color theme="1"/>
      <name val="Times New Roman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u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left" vertical="center" indent="5"/>
    </xf>
    <xf numFmtId="2" fontId="0" fillId="0" borderId="0" xfId="0" applyNumberFormat="1"/>
    <xf numFmtId="44" fontId="0" fillId="0" borderId="0" xfId="2" applyFont="1"/>
    <xf numFmtId="0" fontId="2" fillId="0" borderId="0" xfId="0" applyFont="1" applyAlignment="1">
      <alignment vertical="center"/>
    </xf>
    <xf numFmtId="10" fontId="0" fillId="0" borderId="0" xfId="0" applyNumberFormat="1"/>
    <xf numFmtId="8" fontId="0" fillId="0" borderId="0" xfId="0" applyNumberFormat="1"/>
    <xf numFmtId="10" fontId="0" fillId="0" borderId="0" xfId="3" applyNumberFormat="1" applyFont="1"/>
    <xf numFmtId="9" fontId="0" fillId="0" borderId="0" xfId="0" applyNumberFormat="1"/>
    <xf numFmtId="0" fontId="3" fillId="0" borderId="0" xfId="0" applyFont="1" applyAlignment="1">
      <alignment horizontal="left" vertical="center" indent="2"/>
    </xf>
    <xf numFmtId="0" fontId="4" fillId="0" borderId="0" xfId="0" applyFont="1"/>
    <xf numFmtId="0" fontId="3" fillId="0" borderId="0" xfId="0" applyFont="1" applyAlignment="1">
      <alignment horizontal="left" vertical="center" indent="5"/>
    </xf>
    <xf numFmtId="0" fontId="0" fillId="0" borderId="0" xfId="0" applyFont="1"/>
    <xf numFmtId="9" fontId="0" fillId="0" borderId="0" xfId="0" applyNumberFormat="1" applyFont="1"/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/>
    </xf>
    <xf numFmtId="8" fontId="0" fillId="0" borderId="0" xfId="0" applyNumberFormat="1" applyFont="1"/>
    <xf numFmtId="6" fontId="0" fillId="0" borderId="0" xfId="0" applyNumberFormat="1"/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6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8" fillId="0" borderId="0" xfId="0" applyFont="1"/>
    <xf numFmtId="6" fontId="8" fillId="0" borderId="0" xfId="0" applyNumberFormat="1" applyFont="1"/>
    <xf numFmtId="0" fontId="8" fillId="0" borderId="0" xfId="0" applyFont="1" applyAlignment="1">
      <alignment horizontal="left" vertical="center" indent="5"/>
    </xf>
    <xf numFmtId="43" fontId="0" fillId="0" borderId="0" xfId="1" applyFont="1"/>
    <xf numFmtId="8" fontId="8" fillId="0" borderId="0" xfId="0" applyNumberFormat="1" applyFo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3"/>
    </xf>
    <xf numFmtId="0" fontId="0" fillId="0" borderId="0" xfId="3" applyNumberFormat="1" applyFont="1"/>
    <xf numFmtId="10" fontId="0" fillId="2" borderId="0" xfId="3" applyNumberFormat="1" applyFont="1" applyFill="1"/>
    <xf numFmtId="0" fontId="0" fillId="0" borderId="0" xfId="0" applyNumberFormat="1"/>
    <xf numFmtId="43" fontId="0" fillId="0" borderId="0" xfId="0" applyNumberFormat="1"/>
    <xf numFmtId="8" fontId="0" fillId="2" borderId="0" xfId="0" applyNumberFormat="1" applyFill="1"/>
    <xf numFmtId="0" fontId="0" fillId="0" borderId="0" xfId="0" quotePrefix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6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8" fontId="10" fillId="0" borderId="0" xfId="0" applyNumberFormat="1" applyFont="1"/>
    <xf numFmtId="10" fontId="10" fillId="0" borderId="0" xfId="0" applyNumberFormat="1" applyFont="1"/>
    <xf numFmtId="10" fontId="0" fillId="0" borderId="0" xfId="0" applyNumberFormat="1" applyFont="1"/>
    <xf numFmtId="6" fontId="0" fillId="0" borderId="0" xfId="0" quotePrefix="1" applyNumberFormat="1" applyAlignment="1">
      <alignment horizontal="center"/>
    </xf>
    <xf numFmtId="2" fontId="10" fillId="0" borderId="0" xfId="0" applyNumberFormat="1" applyFont="1" applyAlignment="1">
      <alignment horizontal="center"/>
    </xf>
    <xf numFmtId="0" fontId="14" fillId="0" borderId="0" xfId="0" applyFont="1"/>
  </cellXfs>
  <cellStyles count="10">
    <cellStyle name="Comma" xfId="1" builtinId="3"/>
    <cellStyle name="Currency" xfId="2" builtinId="4"/>
    <cellStyle name="Followed Hyperlink" xfId="5" builtinId="9" hidden="1"/>
    <cellStyle name="Followed Hyperlink" xfId="7" builtinId="9" hidden="1"/>
    <cellStyle name="Followed Hyperlink" xfId="9" builtinId="9" hidden="1"/>
    <cellStyle name="Hyperlink" xfId="4" builtinId="8" hidden="1"/>
    <cellStyle name="Hyperlink" xfId="6" builtinId="8" hidden="1"/>
    <cellStyle name="Hyperlink" xfId="8" builtinId="8" hidden="1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Project A</c:v>
          </c:tx>
          <c:marker>
            <c:symbol val="none"/>
          </c:marker>
          <c:cat>
            <c:numRef>
              <c:f>'C9 Questions'!$A$26:$A$30</c:f>
              <c:numCache>
                <c:formatCode>0%</c:formatCode>
                <c:ptCount val="5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</c:numCache>
            </c:numRef>
          </c:cat>
          <c:val>
            <c:numRef>
              <c:f>'C9 Questions'!$B$26:$B$30</c:f>
              <c:numCache>
                <c:formatCode>"$"#,##0;[Red]\-"$"#,##0</c:formatCode>
                <c:ptCount val="5"/>
                <c:pt idx="0">
                  <c:v>12500.0</c:v>
                </c:pt>
                <c:pt idx="1">
                  <c:v>7987.289246764456</c:v>
                </c:pt>
                <c:pt idx="2">
                  <c:v>4181.47667509049</c:v>
                </c:pt>
                <c:pt idx="3">
                  <c:v>939.5192269896215</c:v>
                </c:pt>
                <c:pt idx="4">
                  <c:v>-1847.222222222226</c:v>
                </c:pt>
              </c:numCache>
            </c:numRef>
          </c:val>
          <c:smooth val="0"/>
        </c:ser>
        <c:ser>
          <c:idx val="1"/>
          <c:order val="1"/>
          <c:tx>
            <c:v>Project B</c:v>
          </c:tx>
          <c:marker>
            <c:symbol val="none"/>
          </c:marker>
          <c:cat>
            <c:numRef>
              <c:f>'C9 Questions'!$A$26:$A$30</c:f>
              <c:numCache>
                <c:formatCode>0%</c:formatCode>
                <c:ptCount val="5"/>
                <c:pt idx="0">
                  <c:v>0.0</c:v>
                </c:pt>
                <c:pt idx="1">
                  <c:v>0.05</c:v>
                </c:pt>
                <c:pt idx="2">
                  <c:v>0.1</c:v>
                </c:pt>
                <c:pt idx="3">
                  <c:v>0.15</c:v>
                </c:pt>
                <c:pt idx="4">
                  <c:v>0.2</c:v>
                </c:pt>
              </c:numCache>
            </c:numRef>
          </c:cat>
          <c:val>
            <c:numRef>
              <c:f>'C9 Questions'!$C$26:$C$30</c:f>
              <c:numCache>
                <c:formatCode>"$"#,##0;[Red]\-"$"#,##0</c:formatCode>
                <c:ptCount val="5"/>
                <c:pt idx="0">
                  <c:v>18000.0</c:v>
                </c:pt>
                <c:pt idx="1">
                  <c:v>11012.62334109758</c:v>
                </c:pt>
                <c:pt idx="2">
                  <c:v>5310.839423536628</c:v>
                </c:pt>
                <c:pt idx="3">
                  <c:v>607.8666099678085</c:v>
                </c:pt>
                <c:pt idx="4">
                  <c:v>-3309.41358024691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0050600"/>
        <c:axId val="-2145766216"/>
      </c:lineChart>
      <c:catAx>
        <c:axId val="2130050600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-2145766216"/>
        <c:crosses val="autoZero"/>
        <c:auto val="1"/>
        <c:lblAlgn val="ctr"/>
        <c:lblOffset val="100"/>
        <c:noMultiLvlLbl val="0"/>
      </c:catAx>
      <c:valAx>
        <c:axId val="-2145766216"/>
        <c:scaling>
          <c:orientation val="minMax"/>
        </c:scaling>
        <c:delete val="0"/>
        <c:axPos val="l"/>
        <c:majorGridlines/>
        <c:numFmt formatCode="&quot;$&quot;#,##0;[Red]\-&quot;$&quot;#,##0" sourceLinked="1"/>
        <c:majorTickMark val="out"/>
        <c:minorTickMark val="none"/>
        <c:tickLblPos val="nextTo"/>
        <c:crossAx val="21300506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50800</xdr:rowOff>
        </xdr:from>
        <xdr:to>
          <xdr:col>12</xdr:col>
          <xdr:colOff>317500</xdr:colOff>
          <xdr:row>7</xdr:row>
          <xdr:rowOff>50800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11</xdr:col>
          <xdr:colOff>695266</xdr:colOff>
          <xdr:row>7</xdr:row>
          <xdr:rowOff>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459960</xdr:colOff>
          <xdr:row>6</xdr:row>
          <xdr:rowOff>63500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388620</xdr:colOff>
      <xdr:row>17</xdr:row>
      <xdr:rowOff>133350</xdr:rowOff>
    </xdr:from>
    <xdr:to>
      <xdr:col>17</xdr:col>
      <xdr:colOff>83820</xdr:colOff>
      <xdr:row>32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259080</xdr:colOff>
      <xdr:row>25</xdr:row>
      <xdr:rowOff>45720</xdr:rowOff>
    </xdr:from>
    <xdr:to>
      <xdr:col>14</xdr:col>
      <xdr:colOff>594360</xdr:colOff>
      <xdr:row>29</xdr:row>
      <xdr:rowOff>45720</xdr:rowOff>
    </xdr:to>
    <xdr:cxnSp macro="">
      <xdr:nvCxnSpPr>
        <xdr:cNvPr id="4" name="Straight Arrow Connector 3"/>
        <xdr:cNvCxnSpPr/>
      </xdr:nvCxnSpPr>
      <xdr:spPr>
        <a:xfrm flipH="1">
          <a:off x="8961120" y="5181600"/>
          <a:ext cx="335280" cy="7315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91440</xdr:colOff>
      <xdr:row>23</xdr:row>
      <xdr:rowOff>175260</xdr:rowOff>
    </xdr:from>
    <xdr:to>
      <xdr:col>15</xdr:col>
      <xdr:colOff>586740</xdr:colOff>
      <xdr:row>25</xdr:row>
      <xdr:rowOff>60960</xdr:rowOff>
    </xdr:to>
    <xdr:sp macro="" textlink="">
      <xdr:nvSpPr>
        <xdr:cNvPr id="5" name="TextBox 4"/>
        <xdr:cNvSpPr txBox="1"/>
      </xdr:nvSpPr>
      <xdr:spPr>
        <a:xfrm>
          <a:off x="8793480" y="4945380"/>
          <a:ext cx="1104900" cy="2514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/>
            <a:t>IRRA</a:t>
          </a:r>
          <a:r>
            <a:rPr lang="en-CA" sz="1100" baseline="0"/>
            <a:t> = 16.6%</a:t>
          </a:r>
          <a:endParaRPr lang="en-CA" sz="1100"/>
        </a:p>
      </xdr:txBody>
    </xdr:sp>
    <xdr:clientData/>
  </xdr:twoCellAnchor>
  <xdr:twoCellAnchor>
    <xdr:from>
      <xdr:col>12</xdr:col>
      <xdr:colOff>510540</xdr:colOff>
      <xdr:row>22</xdr:row>
      <xdr:rowOff>53340</xdr:rowOff>
    </xdr:from>
    <xdr:to>
      <xdr:col>13</xdr:col>
      <xdr:colOff>510540</xdr:colOff>
      <xdr:row>28</xdr:row>
      <xdr:rowOff>60960</xdr:rowOff>
    </xdr:to>
    <xdr:cxnSp macro="">
      <xdr:nvCxnSpPr>
        <xdr:cNvPr id="7" name="Straight Arrow Connector 6"/>
        <xdr:cNvCxnSpPr/>
      </xdr:nvCxnSpPr>
      <xdr:spPr>
        <a:xfrm>
          <a:off x="7993380" y="4640580"/>
          <a:ext cx="609600" cy="1104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601980</xdr:colOff>
      <xdr:row>20</xdr:row>
      <xdr:rowOff>129540</xdr:rowOff>
    </xdr:from>
    <xdr:to>
      <xdr:col>15</xdr:col>
      <xdr:colOff>7620</xdr:colOff>
      <xdr:row>21</xdr:row>
      <xdr:rowOff>144780</xdr:rowOff>
    </xdr:to>
    <xdr:sp macro="" textlink="">
      <xdr:nvSpPr>
        <xdr:cNvPr id="8" name="TextBox 7"/>
        <xdr:cNvSpPr txBox="1"/>
      </xdr:nvSpPr>
      <xdr:spPr>
        <a:xfrm>
          <a:off x="7475220" y="4351020"/>
          <a:ext cx="184404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/>
            <a:t>Crossover</a:t>
          </a:r>
          <a:r>
            <a:rPr lang="en-CA" sz="1100" baseline="0"/>
            <a:t> Point = 13.75%</a:t>
          </a:r>
          <a:endParaRPr lang="en-CA" sz="1100"/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0.54667</cdr:x>
      <cdr:y>0.76528</cdr:y>
    </cdr:from>
    <cdr:to>
      <cdr:x>0.60667</cdr:x>
      <cdr:y>0.89861</cdr:y>
    </cdr:to>
    <cdr:cxnSp macro="">
      <cdr:nvCxnSpPr>
        <cdr:cNvPr id="3" name="Straight Arrow Connector 2"/>
        <cdr:cNvCxnSpPr/>
      </cdr:nvCxnSpPr>
      <cdr:spPr>
        <a:xfrm xmlns:a="http://schemas.openxmlformats.org/drawingml/2006/main" flipV="1">
          <a:off x="2499360" y="2099310"/>
          <a:ext cx="274320" cy="36576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0.405</cdr:x>
      <cdr:y>0.9</cdr:y>
    </cdr:from>
    <cdr:to>
      <cdr:x>0.73333</cdr:x>
      <cdr:y>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851660" y="2510790"/>
          <a:ext cx="1501140" cy="27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CA" sz="1100"/>
            <a:t>IRRB = 15.72%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1.docx"/><Relationship Id="rId4" Type="http://schemas.openxmlformats.org/officeDocument/2006/relationships/image" Target="../media/image1.e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2.docx"/><Relationship Id="rId4" Type="http://schemas.openxmlformats.org/officeDocument/2006/relationships/image" Target="../media/image2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3.docx"/><Relationship Id="rId4" Type="http://schemas.openxmlformats.org/officeDocument/2006/relationships/image" Target="../media/image3.emf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3" workbookViewId="0">
      <selection activeCell="E13" sqref="E13"/>
    </sheetView>
  </sheetViews>
  <sheetFormatPr baseColWidth="10" defaultRowHeight="14" x14ac:dyDescent="0"/>
  <sheetData>
    <row r="2" spans="1:6" ht="15">
      <c r="A2" s="30" t="s">
        <v>0</v>
      </c>
    </row>
    <row r="3" spans="1:6" ht="15">
      <c r="A3" s="31" t="s">
        <v>139</v>
      </c>
    </row>
    <row r="4" spans="1:6" ht="15">
      <c r="A4" s="31" t="s">
        <v>140</v>
      </c>
    </row>
    <row r="6" spans="1:6">
      <c r="A6" t="s">
        <v>2</v>
      </c>
      <c r="B6">
        <v>16000000</v>
      </c>
    </row>
    <row r="7" spans="1:6">
      <c r="A7" t="s">
        <v>141</v>
      </c>
      <c r="B7">
        <v>4000</v>
      </c>
    </row>
    <row r="8" spans="1:6">
      <c r="A8" t="s">
        <v>142</v>
      </c>
      <c r="B8" t="s">
        <v>143</v>
      </c>
      <c r="D8">
        <f>B6/B7</f>
        <v>4000</v>
      </c>
    </row>
    <row r="10" spans="1:6">
      <c r="B10" t="s">
        <v>145</v>
      </c>
      <c r="C10" t="s">
        <v>146</v>
      </c>
      <c r="D10">
        <v>1.0285</v>
      </c>
      <c r="E10">
        <v>99.25</v>
      </c>
      <c r="F10">
        <f>E10/100</f>
        <v>0.99250000000000005</v>
      </c>
    </row>
    <row r="11" spans="1:6">
      <c r="A11" t="s">
        <v>5</v>
      </c>
      <c r="B11" t="s">
        <v>144</v>
      </c>
      <c r="C11" s="32">
        <f>D10*D8</f>
        <v>4114</v>
      </c>
      <c r="D11">
        <f>D8*D10</f>
        <v>4114</v>
      </c>
      <c r="E11" s="27">
        <f>F10*D8</f>
        <v>3970</v>
      </c>
    </row>
    <row r="12" spans="1:6">
      <c r="B12" t="s">
        <v>163</v>
      </c>
      <c r="D12" s="27">
        <f>5*C11</f>
        <v>20570</v>
      </c>
      <c r="E12" s="35">
        <f>E11*5</f>
        <v>19850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7" workbookViewId="0">
      <selection activeCell="J19" sqref="J19"/>
    </sheetView>
  </sheetViews>
  <sheetFormatPr baseColWidth="10" defaultRowHeight="14" x14ac:dyDescent="0"/>
  <sheetData>
    <row r="1" spans="1:11" ht="15">
      <c r="A1" s="30" t="s">
        <v>10</v>
      </c>
    </row>
    <row r="2" spans="1:11" ht="15">
      <c r="A2" s="31" t="s">
        <v>147</v>
      </c>
    </row>
    <row r="3" spans="1:11" ht="15">
      <c r="A3" s="31" t="s">
        <v>148</v>
      </c>
    </row>
    <row r="4" spans="1:11" ht="15">
      <c r="A4" s="31" t="s">
        <v>149</v>
      </c>
    </row>
    <row r="5" spans="1:11" ht="15">
      <c r="A5" s="31" t="s">
        <v>150</v>
      </c>
    </row>
    <row r="6" spans="1:11" ht="15">
      <c r="A6" s="31" t="s">
        <v>11</v>
      </c>
    </row>
    <row r="7" spans="1:11" ht="15">
      <c r="A7" s="31" t="s">
        <v>12</v>
      </c>
    </row>
    <row r="8" spans="1:11" ht="15">
      <c r="A8" s="31" t="s">
        <v>151</v>
      </c>
    </row>
    <row r="9" spans="1:11" ht="15">
      <c r="A9" s="5" t="s">
        <v>13</v>
      </c>
    </row>
    <row r="12" spans="1:11">
      <c r="A12" t="s">
        <v>152</v>
      </c>
      <c r="B12">
        <v>2000</v>
      </c>
    </row>
    <row r="13" spans="1:11">
      <c r="A13" t="s">
        <v>153</v>
      </c>
      <c r="B13" s="6">
        <v>7.8E-2</v>
      </c>
      <c r="C13" t="s">
        <v>61</v>
      </c>
      <c r="D13" s="8">
        <f>B13/2</f>
        <v>3.9E-2</v>
      </c>
      <c r="F13" t="s">
        <v>5</v>
      </c>
      <c r="G13" t="s">
        <v>157</v>
      </c>
      <c r="J13" t="s">
        <v>98</v>
      </c>
      <c r="K13" s="7">
        <f>B15+G17</f>
        <v>-2000.0000000000002</v>
      </c>
    </row>
    <row r="14" spans="1:11">
      <c r="A14" t="s">
        <v>154</v>
      </c>
      <c r="B14">
        <v>50</v>
      </c>
    </row>
    <row r="15" spans="1:11">
      <c r="A15" t="s">
        <v>156</v>
      </c>
      <c r="B15" s="7">
        <f>PV(D13,B14,,B12)</f>
        <v>-295.29263676790305</v>
      </c>
      <c r="F15" t="s">
        <v>158</v>
      </c>
      <c r="G15">
        <f>B12*B13/2</f>
        <v>78</v>
      </c>
    </row>
    <row r="16" spans="1:11">
      <c r="F16" t="s">
        <v>61</v>
      </c>
      <c r="G16" s="6">
        <f>D13</f>
        <v>3.9E-2</v>
      </c>
    </row>
    <row r="17" spans="1:8">
      <c r="A17" t="s">
        <v>155</v>
      </c>
      <c r="F17" t="s">
        <v>159</v>
      </c>
      <c r="G17" s="7">
        <f>PV(G16,B14,G15)</f>
        <v>-1704.7073632320971</v>
      </c>
    </row>
    <row r="21" spans="1:8">
      <c r="A21" t="s">
        <v>37</v>
      </c>
      <c r="B21" t="s">
        <v>154</v>
      </c>
      <c r="C21">
        <v>40</v>
      </c>
      <c r="F21" t="s">
        <v>40</v>
      </c>
    </row>
    <row r="22" spans="1:8">
      <c r="B22" t="s">
        <v>156</v>
      </c>
      <c r="C22">
        <v>-1880</v>
      </c>
      <c r="G22" t="s">
        <v>154</v>
      </c>
      <c r="H22">
        <v>10</v>
      </c>
    </row>
    <row r="23" spans="1:8">
      <c r="B23" t="s">
        <v>160</v>
      </c>
      <c r="C23">
        <f>G15</f>
        <v>78</v>
      </c>
      <c r="G23" t="s">
        <v>30</v>
      </c>
      <c r="H23" s="6">
        <f>6.2%/2</f>
        <v>3.1E-2</v>
      </c>
    </row>
    <row r="24" spans="1:8">
      <c r="B24" t="s">
        <v>161</v>
      </c>
      <c r="C24">
        <v>2000</v>
      </c>
      <c r="G24" t="s">
        <v>161</v>
      </c>
      <c r="H24">
        <v>2000</v>
      </c>
    </row>
    <row r="25" spans="1:8">
      <c r="B25" t="s">
        <v>61</v>
      </c>
      <c r="C25" s="6">
        <f>RATE(C21,C23,C22,C24)</f>
        <v>4.2128074115247507E-2</v>
      </c>
      <c r="G25" t="s">
        <v>160</v>
      </c>
      <c r="H25">
        <f>C23</f>
        <v>78</v>
      </c>
    </row>
    <row r="26" spans="1:8">
      <c r="B26" t="s">
        <v>162</v>
      </c>
      <c r="C26" s="33">
        <f>C25*2</f>
        <v>8.4256148230495015E-2</v>
      </c>
      <c r="G26" t="s">
        <v>156</v>
      </c>
      <c r="H26" s="36">
        <f>PV(H23,H22,H25,H24)</f>
        <v>-2135.7893529361181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2" workbookViewId="0">
      <selection activeCell="B16" sqref="B16"/>
    </sheetView>
  </sheetViews>
  <sheetFormatPr baseColWidth="10" defaultRowHeight="14" x14ac:dyDescent="0"/>
  <sheetData>
    <row r="1" spans="1:7" ht="15">
      <c r="A1" s="30" t="s">
        <v>14</v>
      </c>
    </row>
    <row r="2" spans="1:7" ht="15">
      <c r="A2" s="30" t="s">
        <v>15</v>
      </c>
      <c r="G2" t="s">
        <v>167</v>
      </c>
    </row>
    <row r="3" spans="1:7" ht="15">
      <c r="A3" s="30" t="s">
        <v>16</v>
      </c>
    </row>
    <row r="4" spans="1:7" ht="15">
      <c r="A4" s="30" t="s">
        <v>17</v>
      </c>
    </row>
    <row r="5" spans="1:7" ht="15">
      <c r="A5" s="30" t="s">
        <v>18</v>
      </c>
    </row>
    <row r="7" spans="1:7" ht="15">
      <c r="A7" s="30" t="s">
        <v>164</v>
      </c>
      <c r="B7" s="9">
        <v>0.14000000000000001</v>
      </c>
    </row>
    <row r="8" spans="1:7" ht="15">
      <c r="A8" s="30" t="s">
        <v>165</v>
      </c>
      <c r="B8" s="9">
        <v>0.08</v>
      </c>
    </row>
    <row r="9" spans="1:7" ht="15">
      <c r="A9" s="30" t="s">
        <v>166</v>
      </c>
      <c r="B9" s="9">
        <f>B7-B8</f>
        <v>6.0000000000000012E-2</v>
      </c>
    </row>
    <row r="12" spans="1:7" ht="15">
      <c r="A12" s="30" t="s">
        <v>168</v>
      </c>
    </row>
    <row r="14" spans="1:7">
      <c r="A14" t="s">
        <v>169</v>
      </c>
      <c r="B14" s="37" t="s">
        <v>170</v>
      </c>
    </row>
    <row r="15" spans="1:7">
      <c r="B15" s="37" t="s">
        <v>55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workbookViewId="0">
      <selection activeCell="A55" sqref="A55"/>
    </sheetView>
  </sheetViews>
  <sheetFormatPr baseColWidth="10" defaultColWidth="8.83203125" defaultRowHeight="14" x14ac:dyDescent="0"/>
  <cols>
    <col min="2" max="2" width="13.5" customWidth="1"/>
    <col min="3" max="3" width="11.33203125" bestFit="1" customWidth="1"/>
    <col min="7" max="7" width="11.33203125" bestFit="1" customWidth="1"/>
    <col min="9" max="9" width="10.5" customWidth="1"/>
    <col min="13" max="13" width="9.6640625" bestFit="1" customWidth="1"/>
  </cols>
  <sheetData>
    <row r="1" spans="1:7" s="11" customFormat="1" ht="15">
      <c r="A1" s="10" t="s">
        <v>0</v>
      </c>
    </row>
    <row r="2" spans="1:7" s="11" customFormat="1" ht="15">
      <c r="A2" s="12" t="s">
        <v>43</v>
      </c>
    </row>
    <row r="3" spans="1:7" s="11" customFormat="1" ht="15">
      <c r="A3" s="12" t="s">
        <v>44</v>
      </c>
    </row>
    <row r="5" spans="1:7">
      <c r="A5" t="s">
        <v>1</v>
      </c>
      <c r="B5" t="s">
        <v>2</v>
      </c>
      <c r="C5">
        <v>16000000</v>
      </c>
    </row>
    <row r="6" spans="1:7">
      <c r="B6" t="s">
        <v>3</v>
      </c>
      <c r="C6">
        <v>4000</v>
      </c>
    </row>
    <row r="7" spans="1:7">
      <c r="B7" t="s">
        <v>4</v>
      </c>
      <c r="C7">
        <f>C5/C6</f>
        <v>4000</v>
      </c>
    </row>
    <row r="9" spans="1:7">
      <c r="A9" t="s">
        <v>5</v>
      </c>
      <c r="B9" t="s">
        <v>6</v>
      </c>
      <c r="C9">
        <v>102.85</v>
      </c>
      <c r="D9" t="s">
        <v>8</v>
      </c>
      <c r="G9">
        <v>99.25</v>
      </c>
    </row>
    <row r="10" spans="1:7">
      <c r="B10" t="s">
        <v>7</v>
      </c>
      <c r="C10" s="3">
        <f>C9/100*C6</f>
        <v>4114</v>
      </c>
      <c r="G10" s="3">
        <f>G9/100*C6</f>
        <v>3970</v>
      </c>
    </row>
    <row r="11" spans="1:7">
      <c r="B11" t="s">
        <v>9</v>
      </c>
      <c r="C11" s="4">
        <f>C10*5</f>
        <v>20570</v>
      </c>
      <c r="D11" s="4"/>
      <c r="E11" s="4"/>
      <c r="F11" s="4"/>
      <c r="G11" s="4">
        <f>G10*5</f>
        <v>19850</v>
      </c>
    </row>
    <row r="13" spans="1:7" s="11" customFormat="1" ht="15">
      <c r="A13" s="10" t="s">
        <v>10</v>
      </c>
    </row>
    <row r="14" spans="1:7" s="11" customFormat="1" ht="15">
      <c r="A14" s="12" t="s">
        <v>45</v>
      </c>
    </row>
    <row r="15" spans="1:7" s="11" customFormat="1" ht="15">
      <c r="A15" s="12" t="s">
        <v>46</v>
      </c>
    </row>
    <row r="16" spans="1:7" s="11" customFormat="1" ht="15">
      <c r="A16" s="12" t="s">
        <v>47</v>
      </c>
    </row>
    <row r="17" spans="1:13" s="11" customFormat="1" ht="15">
      <c r="A17" s="12" t="s">
        <v>48</v>
      </c>
    </row>
    <row r="18" spans="1:13" s="11" customFormat="1" ht="15">
      <c r="A18" s="12" t="s">
        <v>11</v>
      </c>
    </row>
    <row r="19" spans="1:13" s="11" customFormat="1" ht="15">
      <c r="A19" s="12" t="s">
        <v>12</v>
      </c>
    </row>
    <row r="20" spans="1:13" s="11" customFormat="1" ht="15">
      <c r="A20" s="12" t="s">
        <v>49</v>
      </c>
    </row>
    <row r="21" spans="1:13" s="11" customFormat="1" ht="15">
      <c r="A21" s="12" t="s">
        <v>13</v>
      </c>
    </row>
    <row r="22" spans="1:13" ht="15">
      <c r="A22" s="2"/>
    </row>
    <row r="23" spans="1:13" ht="15">
      <c r="A23" s="5" t="s">
        <v>1</v>
      </c>
      <c r="B23" t="s">
        <v>31</v>
      </c>
      <c r="G23" s="5" t="s">
        <v>5</v>
      </c>
      <c r="H23" t="s">
        <v>29</v>
      </c>
      <c r="L23" t="s">
        <v>32</v>
      </c>
      <c r="M23" s="7">
        <f>C27+I27</f>
        <v>-2000.0000000000002</v>
      </c>
    </row>
    <row r="24" spans="1:13" ht="15">
      <c r="B24" t="s">
        <v>19</v>
      </c>
      <c r="C24">
        <v>2000</v>
      </c>
      <c r="G24" s="5"/>
      <c r="H24" t="s">
        <v>22</v>
      </c>
      <c r="I24">
        <f>C24*C25/2</f>
        <v>78</v>
      </c>
      <c r="J24" t="s">
        <v>23</v>
      </c>
      <c r="M24" t="s">
        <v>34</v>
      </c>
    </row>
    <row r="25" spans="1:13" ht="15">
      <c r="A25" s="5"/>
      <c r="B25" t="s">
        <v>20</v>
      </c>
      <c r="C25" s="6">
        <v>7.8E-2</v>
      </c>
      <c r="D25" t="s">
        <v>21</v>
      </c>
      <c r="E25">
        <f>C25/2</f>
        <v>3.9E-2</v>
      </c>
      <c r="G25" s="5"/>
      <c r="H25" t="s">
        <v>24</v>
      </c>
      <c r="I25">
        <f>E26</f>
        <v>50</v>
      </c>
      <c r="J25" t="s">
        <v>26</v>
      </c>
      <c r="M25" t="s">
        <v>35</v>
      </c>
    </row>
    <row r="26" spans="1:13" ht="15">
      <c r="A26" s="5"/>
      <c r="B26" t="s">
        <v>24</v>
      </c>
      <c r="C26">
        <v>25</v>
      </c>
      <c r="D26" t="s">
        <v>25</v>
      </c>
      <c r="E26">
        <f>C26*2</f>
        <v>50</v>
      </c>
      <c r="F26" t="s">
        <v>26</v>
      </c>
      <c r="G26" s="5"/>
      <c r="H26" t="s">
        <v>30</v>
      </c>
      <c r="I26" s="8">
        <f>C25/2</f>
        <v>3.9E-2</v>
      </c>
      <c r="J26" t="s">
        <v>23</v>
      </c>
      <c r="M26" t="s">
        <v>36</v>
      </c>
    </row>
    <row r="27" spans="1:13" ht="15">
      <c r="A27" s="5"/>
      <c r="B27" t="s">
        <v>27</v>
      </c>
      <c r="C27" s="7">
        <f>PV(E25,E26,,C24)</f>
        <v>-295.29263676790305</v>
      </c>
      <c r="G27" s="5"/>
      <c r="H27" t="s">
        <v>27</v>
      </c>
      <c r="I27" s="7">
        <f>PV(I26,I25,I24)</f>
        <v>-1704.7073632320971</v>
      </c>
    </row>
    <row r="28" spans="1:13" ht="15">
      <c r="A28" s="5"/>
      <c r="B28" t="s">
        <v>28</v>
      </c>
      <c r="H28" t="s">
        <v>33</v>
      </c>
    </row>
    <row r="29" spans="1:13" ht="15">
      <c r="A29" s="5"/>
    </row>
    <row r="30" spans="1:13">
      <c r="A30" t="s">
        <v>37</v>
      </c>
      <c r="B30" t="s">
        <v>27</v>
      </c>
      <c r="C30">
        <f>-1880</f>
        <v>-1880</v>
      </c>
    </row>
    <row r="31" spans="1:13">
      <c r="B31" t="s">
        <v>24</v>
      </c>
      <c r="C31">
        <v>20</v>
      </c>
      <c r="D31" t="s">
        <v>25</v>
      </c>
      <c r="E31">
        <f>C31*2</f>
        <v>40</v>
      </c>
      <c r="F31" t="s">
        <v>26</v>
      </c>
    </row>
    <row r="32" spans="1:13">
      <c r="B32" t="s">
        <v>42</v>
      </c>
    </row>
    <row r="33" spans="1:6">
      <c r="B33" t="s">
        <v>19</v>
      </c>
      <c r="C33">
        <v>2000</v>
      </c>
    </row>
    <row r="34" spans="1:6">
      <c r="B34" t="s">
        <v>22</v>
      </c>
      <c r="C34">
        <f>C33*C25/2</f>
        <v>78</v>
      </c>
    </row>
    <row r="35" spans="1:6" ht="15">
      <c r="A35" s="5"/>
      <c r="B35" t="s">
        <v>38</v>
      </c>
      <c r="C35" s="6">
        <f>RATE(E31,C34,C30,C33)</f>
        <v>4.2128074115247507E-2</v>
      </c>
      <c r="D35" t="s">
        <v>21</v>
      </c>
      <c r="E35" s="8">
        <f>C35*2</f>
        <v>8.4256148230495015E-2</v>
      </c>
    </row>
    <row r="36" spans="1:6" ht="15">
      <c r="A36" s="5"/>
      <c r="B36" t="s">
        <v>39</v>
      </c>
    </row>
    <row r="37" spans="1:6" ht="15">
      <c r="A37" s="5"/>
    </row>
    <row r="38" spans="1:6" ht="15">
      <c r="A38" s="5" t="s">
        <v>40</v>
      </c>
      <c r="B38" t="s">
        <v>24</v>
      </c>
      <c r="C38">
        <v>5</v>
      </c>
      <c r="D38" t="s">
        <v>25</v>
      </c>
      <c r="E38">
        <f>C38*2</f>
        <v>10</v>
      </c>
      <c r="F38" t="s">
        <v>26</v>
      </c>
    </row>
    <row r="39" spans="1:6" ht="15">
      <c r="A39" s="5"/>
      <c r="B39" t="s">
        <v>30</v>
      </c>
      <c r="C39" s="6">
        <v>6.2E-2</v>
      </c>
      <c r="E39">
        <f>C39/2</f>
        <v>3.1E-2</v>
      </c>
      <c r="F39" t="s">
        <v>23</v>
      </c>
    </row>
    <row r="40" spans="1:6" ht="15">
      <c r="A40" s="5"/>
      <c r="B40" t="s">
        <v>19</v>
      </c>
      <c r="C40">
        <f>C33</f>
        <v>2000</v>
      </c>
    </row>
    <row r="41" spans="1:6" ht="15">
      <c r="A41" s="5"/>
      <c r="B41" t="s">
        <v>22</v>
      </c>
      <c r="C41">
        <f>C34</f>
        <v>78</v>
      </c>
    </row>
    <row r="42" spans="1:6" ht="15">
      <c r="A42" s="5"/>
      <c r="B42" t="s">
        <v>41</v>
      </c>
    </row>
    <row r="43" spans="1:6" ht="15">
      <c r="A43" s="5"/>
      <c r="B43" t="s">
        <v>27</v>
      </c>
      <c r="C43" s="7">
        <f>PV(E39,E38,C41,C40)</f>
        <v>-2135.7893529361181</v>
      </c>
    </row>
    <row r="44" spans="1:6" ht="15">
      <c r="A44" s="1"/>
    </row>
    <row r="45" spans="1:6" s="11" customFormat="1" ht="15">
      <c r="A45" s="10" t="s">
        <v>14</v>
      </c>
    </row>
    <row r="46" spans="1:6" s="11" customFormat="1" ht="15">
      <c r="A46" s="10" t="s">
        <v>15</v>
      </c>
    </row>
    <row r="47" spans="1:6" s="11" customFormat="1" ht="15">
      <c r="A47" s="10" t="s">
        <v>16</v>
      </c>
    </row>
    <row r="48" spans="1:6" s="11" customFormat="1" ht="15">
      <c r="A48" s="10" t="s">
        <v>17</v>
      </c>
    </row>
    <row r="49" spans="1:4" s="11" customFormat="1" ht="15">
      <c r="A49" s="10" t="s">
        <v>18</v>
      </c>
    </row>
    <row r="51" spans="1:4">
      <c r="A51" t="s">
        <v>52</v>
      </c>
      <c r="C51" s="9">
        <v>0.14000000000000001</v>
      </c>
    </row>
    <row r="52" spans="1:4">
      <c r="A52" t="s">
        <v>51</v>
      </c>
      <c r="C52" s="9">
        <v>0.08</v>
      </c>
    </row>
    <row r="53" spans="1:4">
      <c r="A53" t="s">
        <v>53</v>
      </c>
      <c r="C53" t="s">
        <v>50</v>
      </c>
      <c r="D53" s="9">
        <f>C51-C52</f>
        <v>6.0000000000000012E-2</v>
      </c>
    </row>
    <row r="54" spans="1:4">
      <c r="A54" t="s">
        <v>54</v>
      </c>
    </row>
    <row r="55" spans="1:4">
      <c r="A55" t="s">
        <v>55</v>
      </c>
    </row>
    <row r="56" spans="1:4">
      <c r="B56" t="s">
        <v>56</v>
      </c>
      <c r="C56" s="8">
        <f>(1+C51)/(1+C52)-1</f>
        <v>5.555555555555558E-2</v>
      </c>
    </row>
    <row r="57" spans="1:4">
      <c r="A57" t="s">
        <v>57</v>
      </c>
    </row>
  </sheetData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N20"/>
  <sheetViews>
    <sheetView workbookViewId="0">
      <selection activeCell="H26" sqref="H26"/>
    </sheetView>
  </sheetViews>
  <sheetFormatPr baseColWidth="10" defaultRowHeight="14" x14ac:dyDescent="0"/>
  <sheetData>
    <row r="10" spans="1:14">
      <c r="B10" s="39" t="s">
        <v>171</v>
      </c>
      <c r="C10" s="39" t="s">
        <v>172</v>
      </c>
      <c r="D10" s="39" t="s">
        <v>173</v>
      </c>
      <c r="E10" s="39" t="s">
        <v>174</v>
      </c>
      <c r="F10" s="39" t="s">
        <v>175</v>
      </c>
      <c r="G10" s="39" t="s">
        <v>176</v>
      </c>
      <c r="H10" s="39" t="s">
        <v>177</v>
      </c>
      <c r="I10" s="39" t="s">
        <v>178</v>
      </c>
      <c r="J10" s="39" t="s">
        <v>179</v>
      </c>
      <c r="K10" s="39" t="s">
        <v>180</v>
      </c>
      <c r="L10" s="39" t="s">
        <v>181</v>
      </c>
      <c r="M10" s="39" t="s">
        <v>182</v>
      </c>
      <c r="N10" s="39" t="s">
        <v>183</v>
      </c>
    </row>
    <row r="12" spans="1:14">
      <c r="A12" t="s">
        <v>184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8</v>
      </c>
      <c r="M12">
        <f>L12*(1+B13)</f>
        <v>8.48</v>
      </c>
    </row>
    <row r="13" spans="1:14">
      <c r="A13" t="s">
        <v>185</v>
      </c>
      <c r="B13" s="9">
        <v>0.06</v>
      </c>
    </row>
    <row r="14" spans="1:14">
      <c r="A14" t="s">
        <v>165</v>
      </c>
      <c r="B14" s="9">
        <v>0.13</v>
      </c>
    </row>
    <row r="15" spans="1:14">
      <c r="A15" t="s">
        <v>186</v>
      </c>
    </row>
    <row r="16" spans="1:14">
      <c r="A16" t="s">
        <v>187</v>
      </c>
      <c r="B16">
        <f>(L12/(B14-B13))</f>
        <v>114.28571428571428</v>
      </c>
    </row>
    <row r="17" spans="1:2">
      <c r="A17" t="s">
        <v>156</v>
      </c>
      <c r="B17" s="7">
        <f>PV(B14,9,,B16)</f>
        <v>-38.043980958002486</v>
      </c>
    </row>
    <row r="20" spans="1:2">
      <c r="A20" t="s">
        <v>188</v>
      </c>
      <c r="B20">
        <f>L12*(1+B13)^2</f>
        <v>8.9888000000000012</v>
      </c>
    </row>
  </sheetData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Word.Document.12" shapeId="7169" r:id="rId3">
          <objectPr defaultSize="0" autoPict="0" r:id="rId4">
            <anchor moveWithCells="1">
              <from>
                <xdr:col>0</xdr:col>
                <xdr:colOff>38100</xdr:colOff>
                <xdr:row>0</xdr:row>
                <xdr:rowOff>50800</xdr:rowOff>
              </from>
              <to>
                <xdr:col>12</xdr:col>
                <xdr:colOff>317500</xdr:colOff>
                <xdr:row>7</xdr:row>
                <xdr:rowOff>50800</xdr:rowOff>
              </to>
            </anchor>
          </objectPr>
        </oleObject>
      </mc:Choice>
      <mc:Fallback>
        <oleObject progId="Word.Document.12" shapeId="7169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0:I16"/>
  <sheetViews>
    <sheetView workbookViewId="0">
      <selection activeCell="C14" sqref="C14"/>
    </sheetView>
  </sheetViews>
  <sheetFormatPr baseColWidth="10" defaultRowHeight="14" x14ac:dyDescent="0"/>
  <sheetData>
    <row r="10" spans="1:9">
      <c r="A10" t="s">
        <v>58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</row>
    <row r="11" spans="1:9">
      <c r="A11" t="s">
        <v>189</v>
      </c>
      <c r="C11">
        <v>8</v>
      </c>
      <c r="D11">
        <v>6</v>
      </c>
      <c r="E11">
        <v>3</v>
      </c>
      <c r="F11">
        <v>2</v>
      </c>
      <c r="G11">
        <f>F11*(1+$B$12)</f>
        <v>2.1</v>
      </c>
      <c r="H11">
        <f>G11*(1+$B$12)</f>
        <v>2.2050000000000001</v>
      </c>
      <c r="I11">
        <f>H11*(1+$B$12)</f>
        <v>2.3152500000000003</v>
      </c>
    </row>
    <row r="12" spans="1:9">
      <c r="A12" t="s">
        <v>60</v>
      </c>
      <c r="B12" s="9">
        <v>0.05</v>
      </c>
    </row>
    <row r="13" spans="1:9">
      <c r="A13" t="s">
        <v>61</v>
      </c>
      <c r="B13" s="9">
        <v>0.13</v>
      </c>
    </row>
    <row r="14" spans="1:9">
      <c r="A14" t="s">
        <v>190</v>
      </c>
      <c r="B14" s="7">
        <f>PV(B13,B$10,,B$11)</f>
        <v>0</v>
      </c>
      <c r="C14" s="7">
        <f>PV(B13,C10,,C11)</f>
        <v>-6.2651734669903689</v>
      </c>
    </row>
    <row r="16" spans="1:9">
      <c r="A16">
        <f>F11/(B13-B12)</f>
        <v>25</v>
      </c>
    </row>
  </sheetData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Word.Document.12" shapeId="8193" r:id="rId3">
          <objectPr defaultSiz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11</xdr:col>
                <xdr:colOff>698500</xdr:colOff>
                <xdr:row>7</xdr:row>
                <xdr:rowOff>0</xdr:rowOff>
              </to>
            </anchor>
          </objectPr>
        </oleObject>
      </mc:Choice>
      <mc:Fallback>
        <oleObject progId="Word.Document.12" shapeId="8193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9:I14"/>
  <sheetViews>
    <sheetView topLeftCell="A4" workbookViewId="0">
      <selection activeCell="A14" sqref="A14"/>
    </sheetView>
  </sheetViews>
  <sheetFormatPr baseColWidth="10" defaultRowHeight="14" x14ac:dyDescent="0"/>
  <cols>
    <col min="2" max="2" width="11" bestFit="1" customWidth="1"/>
  </cols>
  <sheetData>
    <row r="9" spans="1:9">
      <c r="A9" s="38" t="s">
        <v>191</v>
      </c>
      <c r="B9" s="38">
        <v>1</v>
      </c>
      <c r="C9" s="38">
        <v>2</v>
      </c>
      <c r="D9" s="38">
        <v>3</v>
      </c>
      <c r="E9" s="38">
        <v>4</v>
      </c>
      <c r="F9" s="38">
        <v>5</v>
      </c>
      <c r="G9" s="38">
        <v>6</v>
      </c>
      <c r="H9" s="38">
        <v>7</v>
      </c>
      <c r="I9" s="38">
        <v>8</v>
      </c>
    </row>
    <row r="10" spans="1:9">
      <c r="A10" s="38" t="s">
        <v>192</v>
      </c>
      <c r="B10">
        <v>0</v>
      </c>
      <c r="C10">
        <v>0</v>
      </c>
      <c r="D10">
        <v>0</v>
      </c>
      <c r="E10">
        <v>0</v>
      </c>
      <c r="F10">
        <v>0</v>
      </c>
      <c r="G10">
        <v>9</v>
      </c>
      <c r="H10">
        <v>9</v>
      </c>
      <c r="I10">
        <v>9</v>
      </c>
    </row>
    <row r="11" spans="1:9">
      <c r="A11" s="38" t="s">
        <v>61</v>
      </c>
      <c r="B11" s="9">
        <v>7.0000000000000007E-2</v>
      </c>
    </row>
    <row r="12" spans="1:9">
      <c r="A12" s="38" t="s">
        <v>194</v>
      </c>
      <c r="B12">
        <v>0</v>
      </c>
    </row>
    <row r="13" spans="1:9">
      <c r="A13" s="38" t="s">
        <v>193</v>
      </c>
      <c r="F13" s="3">
        <f>G10/(B11-0)</f>
        <v>128.57142857142856</v>
      </c>
    </row>
    <row r="14" spans="1:9">
      <c r="F14" s="7">
        <f>PV(B11,F9,,F13)</f>
        <v>-91.66965164790021</v>
      </c>
    </row>
  </sheetData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Word.Document.12" shapeId="9217" r:id="rId3">
          <objectPr defaultSiz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457200</xdr:colOff>
                <xdr:row>6</xdr:row>
                <xdr:rowOff>63500</xdr:rowOff>
              </to>
            </anchor>
          </objectPr>
        </oleObject>
      </mc:Choice>
      <mc:Fallback>
        <oleObject progId="Word.Document.12" shapeId="9217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sqref="A1:L1"/>
    </sheetView>
  </sheetViews>
  <sheetFormatPr baseColWidth="10" defaultColWidth="8.83203125" defaultRowHeight="14" x14ac:dyDescent="0"/>
  <sheetData>
    <row r="1" spans="1:16" ht="84" customHeight="1">
      <c r="A1" s="29" t="s">
        <v>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6" ht="15">
      <c r="A2" s="1"/>
    </row>
    <row r="3" spans="1:16" s="13" customFormat="1">
      <c r="A3" s="15" t="s">
        <v>58</v>
      </c>
      <c r="B3" s="13">
        <v>0</v>
      </c>
      <c r="C3" s="13">
        <v>1</v>
      </c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3">
        <v>8</v>
      </c>
      <c r="K3" s="13">
        <v>9</v>
      </c>
      <c r="L3" s="13">
        <v>10</v>
      </c>
      <c r="M3" s="13">
        <v>11</v>
      </c>
      <c r="N3" s="13">
        <v>12</v>
      </c>
      <c r="O3" s="13">
        <v>13</v>
      </c>
    </row>
    <row r="4" spans="1:16" s="13" customFormat="1">
      <c r="A4" s="15" t="s">
        <v>59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8</v>
      </c>
      <c r="M4" s="13">
        <f>L4*(1+$B$5)</f>
        <v>8.48</v>
      </c>
      <c r="N4" s="13">
        <f t="shared" ref="N4:P4" si="0">M4*(1+$B$5)</f>
        <v>8.9888000000000012</v>
      </c>
      <c r="O4" s="13">
        <f t="shared" si="0"/>
        <v>9.5281280000000024</v>
      </c>
      <c r="P4" s="13">
        <f t="shared" si="0"/>
        <v>10.099815680000003</v>
      </c>
    </row>
    <row r="5" spans="1:16" s="13" customFormat="1">
      <c r="A5" s="15" t="s">
        <v>60</v>
      </c>
      <c r="B5" s="14">
        <v>0.06</v>
      </c>
    </row>
    <row r="6" spans="1:16" s="13" customFormat="1">
      <c r="A6" s="16" t="s">
        <v>61</v>
      </c>
      <c r="B6" s="14">
        <v>0.13</v>
      </c>
    </row>
    <row r="7" spans="1:16" s="13" customFormat="1">
      <c r="A7" s="16" t="s">
        <v>62</v>
      </c>
    </row>
    <row r="8" spans="1:16" s="13" customFormat="1">
      <c r="A8" s="16" t="s">
        <v>63</v>
      </c>
      <c r="J8" s="17" t="s">
        <v>64</v>
      </c>
      <c r="K8" s="13">
        <f>L4/(B6-B5)</f>
        <v>114.28571428571428</v>
      </c>
    </row>
    <row r="9" spans="1:16" s="13" customFormat="1">
      <c r="A9" s="16" t="s">
        <v>65</v>
      </c>
      <c r="B9" s="18">
        <f>PV(B6,K3,,K8)</f>
        <v>-38.043980958002486</v>
      </c>
    </row>
    <row r="10" spans="1:16" s="13" customFormat="1">
      <c r="A10" s="16" t="s">
        <v>66</v>
      </c>
    </row>
    <row r="11" spans="1:16" ht="15">
      <c r="A11" s="1"/>
    </row>
    <row r="12" spans="1:16" ht="62.5" customHeight="1">
      <c r="A12" s="29" t="s">
        <v>76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6" s="13" customFormat="1">
      <c r="A13" s="15" t="s">
        <v>58</v>
      </c>
      <c r="B13" s="13">
        <v>0</v>
      </c>
      <c r="C13" s="13">
        <v>1</v>
      </c>
      <c r="D13" s="13">
        <v>2</v>
      </c>
      <c r="E13" s="13">
        <v>3</v>
      </c>
      <c r="F13" s="13">
        <v>4</v>
      </c>
      <c r="G13" s="13">
        <v>5</v>
      </c>
      <c r="H13" s="13">
        <v>6</v>
      </c>
      <c r="I13" s="13">
        <v>7</v>
      </c>
      <c r="J13" s="13">
        <v>8</v>
      </c>
      <c r="K13" s="13">
        <v>9</v>
      </c>
      <c r="L13" s="13">
        <v>10</v>
      </c>
      <c r="M13" s="13">
        <v>11</v>
      </c>
      <c r="N13" s="13">
        <v>12</v>
      </c>
      <c r="O13" s="13">
        <v>13</v>
      </c>
    </row>
    <row r="14" spans="1:16" s="13" customFormat="1">
      <c r="A14" s="15" t="s">
        <v>59</v>
      </c>
      <c r="C14" s="13">
        <v>8</v>
      </c>
      <c r="D14" s="13">
        <v>6</v>
      </c>
      <c r="E14" s="13">
        <v>3</v>
      </c>
      <c r="F14" s="13">
        <v>2</v>
      </c>
      <c r="G14" s="13">
        <f>F14*(1+$B$15)</f>
        <v>2.1</v>
      </c>
      <c r="H14" s="13">
        <f t="shared" ref="H14:O14" si="1">G14*(1+$B$15)</f>
        <v>2.2050000000000001</v>
      </c>
      <c r="I14" s="13">
        <f t="shared" si="1"/>
        <v>2.3152500000000003</v>
      </c>
      <c r="J14" s="13">
        <f t="shared" si="1"/>
        <v>2.4310125000000005</v>
      </c>
      <c r="K14" s="13">
        <f t="shared" si="1"/>
        <v>2.5525631250000007</v>
      </c>
      <c r="L14" s="13">
        <f t="shared" si="1"/>
        <v>2.6801912812500008</v>
      </c>
      <c r="M14" s="13">
        <f t="shared" si="1"/>
        <v>2.8142008453125009</v>
      </c>
      <c r="N14" s="13">
        <f t="shared" si="1"/>
        <v>2.954910887578126</v>
      </c>
      <c r="O14" s="13">
        <f t="shared" si="1"/>
        <v>3.1026564319570324</v>
      </c>
    </row>
    <row r="15" spans="1:16" s="13" customFormat="1">
      <c r="A15" s="15" t="s">
        <v>60</v>
      </c>
      <c r="B15" s="14">
        <v>0.05</v>
      </c>
    </row>
    <row r="16" spans="1:16" s="13" customFormat="1">
      <c r="A16" s="16" t="s">
        <v>61</v>
      </c>
      <c r="B16" s="14">
        <v>0.13</v>
      </c>
    </row>
    <row r="17" spans="1:15" s="13" customFormat="1">
      <c r="A17" s="16" t="s">
        <v>68</v>
      </c>
    </row>
    <row r="18" spans="1:15" s="13" customFormat="1">
      <c r="A18" s="16" t="s">
        <v>69</v>
      </c>
      <c r="J18" s="17"/>
    </row>
    <row r="19" spans="1:15" s="13" customFormat="1">
      <c r="A19" s="16"/>
      <c r="D19" s="17" t="s">
        <v>70</v>
      </c>
      <c r="E19" s="13">
        <f>F14/(B16-B15)</f>
        <v>25</v>
      </c>
      <c r="J19" s="17"/>
    </row>
    <row r="20" spans="1:15" s="13" customFormat="1">
      <c r="A20" s="16" t="s">
        <v>71</v>
      </c>
      <c r="C20" s="18">
        <f>PV($B$16,C13,,C14)</f>
        <v>-7.0796460176991154</v>
      </c>
      <c r="D20" s="18">
        <f t="shared" ref="D20:E20" si="2">PV($B$16,D13,,D14)</f>
        <v>-4.6988801002427767</v>
      </c>
      <c r="E20" s="18">
        <f t="shared" si="2"/>
        <v>-2.0791504868330875</v>
      </c>
      <c r="J20" s="17"/>
    </row>
    <row r="21" spans="1:15" s="13" customFormat="1">
      <c r="A21" s="16" t="s">
        <v>72</v>
      </c>
      <c r="E21" s="18">
        <f>PV(B16,E13,,E19)</f>
        <v>-17.326254056942393</v>
      </c>
      <c r="J21" s="17"/>
    </row>
    <row r="22" spans="1:15" s="13" customFormat="1">
      <c r="A22" s="16" t="s">
        <v>65</v>
      </c>
      <c r="B22" s="18">
        <f>SUM(C20:E21)</f>
        <v>-31.183930661717373</v>
      </c>
    </row>
    <row r="23" spans="1:15" s="13" customFormat="1">
      <c r="A23" s="16" t="s">
        <v>73</v>
      </c>
    </row>
    <row r="24" spans="1:15" s="13" customFormat="1">
      <c r="A24" s="16"/>
    </row>
    <row r="25" spans="1:15" s="13" customFormat="1">
      <c r="A25" s="16" t="s">
        <v>74</v>
      </c>
      <c r="H25" s="4">
        <f>I14/(B16-B15)</f>
        <v>28.940625000000004</v>
      </c>
    </row>
    <row r="26" spans="1:15" s="13" customFormat="1">
      <c r="A26" s="16" t="s">
        <v>75</v>
      </c>
    </row>
    <row r="27" spans="1:15" s="13" customFormat="1">
      <c r="A27" s="16"/>
    </row>
    <row r="28" spans="1:15" ht="58.25" customHeight="1">
      <c r="A28" s="29" t="s">
        <v>77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</row>
    <row r="30" spans="1:15" s="13" customFormat="1">
      <c r="A30" s="15" t="s">
        <v>58</v>
      </c>
      <c r="B30" s="13">
        <v>0</v>
      </c>
      <c r="C30" s="13">
        <v>1</v>
      </c>
      <c r="D30" s="13">
        <v>2</v>
      </c>
      <c r="E30" s="13">
        <v>3</v>
      </c>
      <c r="F30" s="13">
        <v>4</v>
      </c>
      <c r="G30" s="13">
        <v>5</v>
      </c>
      <c r="H30" s="13">
        <v>6</v>
      </c>
      <c r="I30" s="13">
        <v>7</v>
      </c>
      <c r="J30" s="13">
        <v>8</v>
      </c>
      <c r="K30" s="13">
        <v>9</v>
      </c>
      <c r="L30" s="13">
        <v>10</v>
      </c>
      <c r="M30" s="13">
        <v>11</v>
      </c>
      <c r="N30" s="13">
        <v>12</v>
      </c>
      <c r="O30" s="13">
        <v>13</v>
      </c>
    </row>
    <row r="31" spans="1:15" s="13" customFormat="1">
      <c r="A31" s="15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9</v>
      </c>
      <c r="I31" s="13">
        <v>9</v>
      </c>
      <c r="J31" s="13">
        <v>9</v>
      </c>
      <c r="K31" s="13">
        <v>9</v>
      </c>
      <c r="L31" s="13">
        <v>9</v>
      </c>
      <c r="M31" s="13">
        <v>9</v>
      </c>
      <c r="N31" s="13">
        <v>9</v>
      </c>
      <c r="O31" s="13">
        <v>9</v>
      </c>
    </row>
    <row r="32" spans="1:15" s="13" customFormat="1">
      <c r="A32" s="16" t="s">
        <v>61</v>
      </c>
      <c r="B32" s="14">
        <v>7.0000000000000007E-2</v>
      </c>
    </row>
    <row r="33" spans="1:13" s="13" customFormat="1">
      <c r="A33" s="16" t="s">
        <v>78</v>
      </c>
    </row>
    <row r="34" spans="1:13" s="13" customFormat="1">
      <c r="A34" s="16" t="s">
        <v>79</v>
      </c>
      <c r="F34" s="17" t="s">
        <v>80</v>
      </c>
      <c r="G34" s="13">
        <f>H31/B32</f>
        <v>128.57142857142856</v>
      </c>
      <c r="J34" s="17"/>
    </row>
    <row r="35" spans="1:13" s="13" customFormat="1">
      <c r="A35" s="16" t="s">
        <v>65</v>
      </c>
      <c r="B35" s="18">
        <f>PV(B32,G30,,G34)</f>
        <v>-91.66965164790021</v>
      </c>
    </row>
    <row r="36" spans="1:13" s="13" customFormat="1">
      <c r="A36" s="16" t="s">
        <v>81</v>
      </c>
    </row>
    <row r="37" spans="1:13" s="13" customFormat="1">
      <c r="A37" s="16"/>
    </row>
    <row r="38" spans="1:13" s="13" customFormat="1">
      <c r="A38" s="16" t="s">
        <v>82</v>
      </c>
      <c r="H38" s="4"/>
      <c r="M38" s="13">
        <f>N31/B32</f>
        <v>128.57142857142856</v>
      </c>
    </row>
    <row r="39" spans="1:13" s="13" customFormat="1">
      <c r="A39" s="16" t="s">
        <v>83</v>
      </c>
    </row>
  </sheetData>
  <mergeCells count="3">
    <mergeCell ref="A1:L1"/>
    <mergeCell ref="A12:L12"/>
    <mergeCell ref="A28:L2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21" workbookViewId="0">
      <selection activeCell="G23" sqref="G23"/>
    </sheetView>
  </sheetViews>
  <sheetFormatPr baseColWidth="10" defaultRowHeight="14" x14ac:dyDescent="0"/>
  <sheetData>
    <row r="1" spans="1:4" ht="15">
      <c r="A1" s="30" t="s">
        <v>84</v>
      </c>
    </row>
    <row r="2" spans="1:4" ht="30">
      <c r="A2" s="40" t="s">
        <v>85</v>
      </c>
      <c r="B2" s="40" t="s">
        <v>86</v>
      </c>
      <c r="C2" s="40" t="s">
        <v>87</v>
      </c>
      <c r="D2" s="40" t="s">
        <v>209</v>
      </c>
    </row>
    <row r="3" spans="1:4" ht="15">
      <c r="A3" s="41">
        <v>0</v>
      </c>
      <c r="B3" s="42">
        <v>-34000</v>
      </c>
      <c r="C3" s="42">
        <v>-34000</v>
      </c>
      <c r="D3" s="19">
        <f>B3-C3</f>
        <v>0</v>
      </c>
    </row>
    <row r="4" spans="1:4" ht="15">
      <c r="A4" s="41">
        <v>1</v>
      </c>
      <c r="B4" s="43">
        <v>16500</v>
      </c>
      <c r="C4" s="43">
        <v>5000</v>
      </c>
      <c r="D4" s="19">
        <f t="shared" ref="D4:D7" si="0">B4-C4</f>
        <v>11500</v>
      </c>
    </row>
    <row r="5" spans="1:4" ht="15">
      <c r="A5" s="41">
        <v>2</v>
      </c>
      <c r="B5" s="43">
        <v>14000</v>
      </c>
      <c r="C5" s="43">
        <v>10000</v>
      </c>
      <c r="D5" s="19">
        <f t="shared" si="0"/>
        <v>4000</v>
      </c>
    </row>
    <row r="6" spans="1:4" ht="15">
      <c r="A6" s="41">
        <v>3</v>
      </c>
      <c r="B6" s="43">
        <v>10000</v>
      </c>
      <c r="C6" s="43">
        <v>18000</v>
      </c>
      <c r="D6" s="19">
        <f t="shared" si="0"/>
        <v>-8000</v>
      </c>
    </row>
    <row r="7" spans="1:4" ht="15">
      <c r="A7" s="41">
        <v>4</v>
      </c>
      <c r="B7" s="43">
        <v>6000</v>
      </c>
      <c r="C7" s="43">
        <v>19000</v>
      </c>
      <c r="D7" s="19">
        <f t="shared" si="0"/>
        <v>-13000</v>
      </c>
    </row>
    <row r="8" spans="1:4">
      <c r="A8" t="s">
        <v>210</v>
      </c>
      <c r="D8" s="46">
        <f>IRR(D3:D7)</f>
        <v>0.13746641474639598</v>
      </c>
    </row>
    <row r="9" spans="1:4">
      <c r="A9" s="38" t="s">
        <v>90</v>
      </c>
      <c r="B9" s="45">
        <f>IRR(B3:B7)</f>
        <v>0.1660467202643614</v>
      </c>
      <c r="C9" s="45">
        <f>IRR(C3:C7)</f>
        <v>0.15719546421660824</v>
      </c>
    </row>
    <row r="10" spans="1:4">
      <c r="A10" t="s">
        <v>205</v>
      </c>
      <c r="B10" s="9">
        <v>0.11</v>
      </c>
    </row>
    <row r="11" spans="1:4">
      <c r="A11" s="38" t="s">
        <v>130</v>
      </c>
      <c r="B11" s="44">
        <f>NPV(B10,B4:B7)+B3</f>
        <v>3491.8785881611329</v>
      </c>
      <c r="C11" s="44">
        <f>NPV(B10,C4:C7)+C3</f>
        <v>4298.0622091171535</v>
      </c>
    </row>
    <row r="13" spans="1:4" ht="15">
      <c r="A13" s="31" t="s">
        <v>195</v>
      </c>
    </row>
    <row r="14" spans="1:4" ht="15">
      <c r="A14" s="31" t="s">
        <v>196</v>
      </c>
    </row>
    <row r="15" spans="1:4" ht="15">
      <c r="A15" s="31" t="s">
        <v>197</v>
      </c>
    </row>
    <row r="17" spans="1:3" ht="15">
      <c r="A17" s="5" t="s">
        <v>206</v>
      </c>
    </row>
    <row r="18" spans="1:3">
      <c r="B18" t="s">
        <v>207</v>
      </c>
      <c r="C18" t="s">
        <v>208</v>
      </c>
    </row>
    <row r="19" spans="1:3">
      <c r="A19" s="9">
        <v>0</v>
      </c>
      <c r="B19" s="7">
        <f>NPV($A19,B$4:B$7)+B$3</f>
        <v>12500</v>
      </c>
      <c r="C19" s="7">
        <f>NPV($A19,C$4:C$7)+C$3</f>
        <v>18000</v>
      </c>
    </row>
    <row r="20" spans="1:3">
      <c r="A20" s="9">
        <v>0.05</v>
      </c>
      <c r="B20" s="7">
        <f t="shared" ref="B20:C23" si="1">NPV($A20,B$4:B$7)+B$3</f>
        <v>7987.289246764456</v>
      </c>
      <c r="C20" s="7">
        <f t="shared" si="1"/>
        <v>11012.623341097584</v>
      </c>
    </row>
    <row r="21" spans="1:3">
      <c r="A21" s="9">
        <v>0.1</v>
      </c>
      <c r="B21" s="7">
        <f t="shared" si="1"/>
        <v>4181.4766750904892</v>
      </c>
      <c r="C21" s="7">
        <f t="shared" si="1"/>
        <v>5310.8394235366286</v>
      </c>
    </row>
    <row r="22" spans="1:3">
      <c r="A22" s="9">
        <v>0.15</v>
      </c>
      <c r="B22" s="7">
        <f t="shared" si="1"/>
        <v>939.51922698962153</v>
      </c>
      <c r="C22" s="7">
        <f t="shared" si="1"/>
        <v>607.86660996780847</v>
      </c>
    </row>
    <row r="23" spans="1:3">
      <c r="A23" s="9">
        <v>0.2</v>
      </c>
      <c r="B23" s="7">
        <f t="shared" si="1"/>
        <v>-1847.2222222222263</v>
      </c>
      <c r="C23" s="7">
        <f t="shared" si="1"/>
        <v>-3309.41358024691</v>
      </c>
    </row>
    <row r="24" spans="1:3">
      <c r="A24" s="9">
        <v>0.25</v>
      </c>
      <c r="B24" s="7">
        <f>NPV($A24,B$4:B$7)+B$3</f>
        <v>-4262.4000000000015</v>
      </c>
      <c r="C24" s="7">
        <f>NPV($A24,C$4:C$7)+C$3</f>
        <v>-6601.5999999999985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opLeftCell="A54" workbookViewId="0">
      <selection activeCell="F6" sqref="F6"/>
    </sheetView>
  </sheetViews>
  <sheetFormatPr baseColWidth="10" defaultRowHeight="14" x14ac:dyDescent="0"/>
  <cols>
    <col min="3" max="3" width="11.6640625" bestFit="1" customWidth="1"/>
    <col min="4" max="4" width="11.1640625" bestFit="1" customWidth="1"/>
    <col min="7" max="7" width="11.1640625" bestFit="1" customWidth="1"/>
  </cols>
  <sheetData>
    <row r="1" spans="1:13" ht="15">
      <c r="A1" s="30" t="s">
        <v>88</v>
      </c>
    </row>
    <row r="2" spans="1:13" ht="30">
      <c r="A2" s="40" t="s">
        <v>85</v>
      </c>
      <c r="B2" s="40" t="s">
        <v>86</v>
      </c>
      <c r="C2" s="40" t="s">
        <v>87</v>
      </c>
    </row>
    <row r="3" spans="1:13" ht="15">
      <c r="A3" s="41">
        <v>0</v>
      </c>
      <c r="B3" s="42">
        <v>-210000</v>
      </c>
      <c r="C3" s="42">
        <v>-21000</v>
      </c>
    </row>
    <row r="4" spans="1:13" ht="15">
      <c r="A4" s="41">
        <v>1</v>
      </c>
      <c r="B4" s="43">
        <v>15000</v>
      </c>
      <c r="C4" s="43">
        <v>11000</v>
      </c>
    </row>
    <row r="5" spans="1:13" ht="15">
      <c r="A5" s="41">
        <v>2</v>
      </c>
      <c r="B5" s="43">
        <v>30000</v>
      </c>
      <c r="C5" s="43">
        <v>9000</v>
      </c>
    </row>
    <row r="6" spans="1:13" ht="15">
      <c r="A6" s="41">
        <v>3</v>
      </c>
      <c r="B6" s="43">
        <v>30000</v>
      </c>
      <c r="C6" s="43">
        <v>11000</v>
      </c>
    </row>
    <row r="7" spans="1:13" ht="15">
      <c r="A7" s="41">
        <v>4</v>
      </c>
      <c r="B7" s="43">
        <v>370000</v>
      </c>
      <c r="C7" s="43">
        <v>9000</v>
      </c>
    </row>
    <row r="9" spans="1:13">
      <c r="A9" s="49" t="s">
        <v>117</v>
      </c>
      <c r="E9" s="38" t="s">
        <v>216</v>
      </c>
      <c r="G9" s="38" t="s">
        <v>217</v>
      </c>
      <c r="H9" s="38" t="s">
        <v>218</v>
      </c>
      <c r="J9" t="s">
        <v>98</v>
      </c>
      <c r="K9" s="38" t="s">
        <v>130</v>
      </c>
      <c r="L9" s="44">
        <f>NPV(H17,B4:B7)+B3</f>
        <v>57001.976122155203</v>
      </c>
      <c r="M9" s="44">
        <f>NPV(H17,C4:C7)+C3</f>
        <v>7748.9681640646013</v>
      </c>
    </row>
    <row r="10" spans="1:13">
      <c r="A10" t="s">
        <v>211</v>
      </c>
      <c r="B10" s="19">
        <f>B3+B4</f>
        <v>-195000</v>
      </c>
      <c r="C10" s="19">
        <f>C3+C4</f>
        <v>-10000</v>
      </c>
      <c r="D10" s="7">
        <f>G11+G10+G11</f>
        <v>-183913.04347826086</v>
      </c>
      <c r="G10" s="7">
        <f>-PV($H$17,$A3,,$B3)</f>
        <v>-210000</v>
      </c>
      <c r="H10" s="7">
        <f>-PV($H$17,$A3,,$C3)</f>
        <v>-21000</v>
      </c>
    </row>
    <row r="11" spans="1:13">
      <c r="A11" t="s">
        <v>212</v>
      </c>
      <c r="B11" s="19">
        <f>B10+B5</f>
        <v>-165000</v>
      </c>
      <c r="C11" s="19">
        <f>C10+C5</f>
        <v>-1000</v>
      </c>
      <c r="D11" s="7">
        <f>D10+G12</f>
        <v>-161228.73345935726</v>
      </c>
      <c r="G11" s="7">
        <f t="shared" ref="G11:G14" si="0">-PV($H$17,$A4,,$B4)</f>
        <v>13043.478260869566</v>
      </c>
      <c r="H11" s="7">
        <f t="shared" ref="H11:H14" si="1">-PV($H$17,$A4,,$C4)</f>
        <v>9565.217391304348</v>
      </c>
    </row>
    <row r="12" spans="1:13">
      <c r="A12" t="s">
        <v>213</v>
      </c>
      <c r="B12" s="19">
        <f>B11+B6</f>
        <v>-135000</v>
      </c>
      <c r="C12" s="47" t="s">
        <v>123</v>
      </c>
      <c r="D12" s="7">
        <f>D11+G13</f>
        <v>-141503.24648639761</v>
      </c>
      <c r="G12" s="7">
        <f t="shared" si="0"/>
        <v>22684.310018903594</v>
      </c>
      <c r="H12" s="7">
        <f t="shared" si="1"/>
        <v>6805.2930056710784</v>
      </c>
      <c r="J12" t="s">
        <v>37</v>
      </c>
      <c r="K12" s="38" t="s">
        <v>90</v>
      </c>
      <c r="L12" s="45">
        <f>IRR(B3:B7)</f>
        <v>0.22966782194229385</v>
      </c>
      <c r="M12" s="45">
        <f>IRR(C3:C7)</f>
        <v>0.32730337950257149</v>
      </c>
    </row>
    <row r="13" spans="1:13">
      <c r="A13" t="s">
        <v>214</v>
      </c>
      <c r="B13" s="47" t="s">
        <v>123</v>
      </c>
      <c r="C13" s="39">
        <v>2.09</v>
      </c>
      <c r="D13" s="7" t="s">
        <v>123</v>
      </c>
      <c r="G13" s="7">
        <f t="shared" si="0"/>
        <v>19725.48697295965</v>
      </c>
      <c r="H13" s="7">
        <f t="shared" si="1"/>
        <v>7232.6785567518718</v>
      </c>
    </row>
    <row r="14" spans="1:13">
      <c r="A14" t="s">
        <v>215</v>
      </c>
      <c r="B14" s="39">
        <v>3.36</v>
      </c>
      <c r="C14" s="48">
        <f>C11/C6</f>
        <v>-9.0909090909090912E-2</v>
      </c>
      <c r="D14" s="7"/>
      <c r="G14" s="7">
        <f t="shared" si="0"/>
        <v>211548.70086942235</v>
      </c>
      <c r="H14" s="7">
        <f t="shared" si="1"/>
        <v>5145.7792103373004</v>
      </c>
    </row>
    <row r="15" spans="1:13" ht="15">
      <c r="A15" s="30"/>
      <c r="B15" s="34">
        <f>B12/B7</f>
        <v>-0.36486486486486486</v>
      </c>
      <c r="J15" t="s">
        <v>40</v>
      </c>
      <c r="K15" s="38" t="s">
        <v>135</v>
      </c>
      <c r="L15" s="44">
        <f>NPV(H17,B4:B7)/-B3</f>
        <v>1.2714379815340724</v>
      </c>
      <c r="M15" s="44">
        <f>NPV(H17,C4:C7)/-C3</f>
        <v>1.3689984840030762</v>
      </c>
    </row>
    <row r="16" spans="1:13" ht="15">
      <c r="A16" s="30" t="s">
        <v>204</v>
      </c>
    </row>
    <row r="17" spans="1:8">
      <c r="G17" t="s">
        <v>205</v>
      </c>
      <c r="H17" s="9">
        <v>0.15</v>
      </c>
    </row>
    <row r="20" spans="1:8" ht="15">
      <c r="A20" s="30" t="s">
        <v>89</v>
      </c>
    </row>
    <row r="21" spans="1:8" ht="15">
      <c r="A21" s="31" t="s">
        <v>198</v>
      </c>
    </row>
    <row r="22" spans="1:8" ht="15">
      <c r="A22" s="31" t="s">
        <v>199</v>
      </c>
    </row>
    <row r="23" spans="1:8" ht="15">
      <c r="A23" s="31" t="s">
        <v>200</v>
      </c>
    </row>
    <row r="24" spans="1:8" ht="15">
      <c r="A24" s="31" t="s">
        <v>201</v>
      </c>
    </row>
    <row r="25" spans="1:8" ht="15">
      <c r="A25" s="31" t="s">
        <v>202</v>
      </c>
    </row>
    <row r="26" spans="1:8" ht="15">
      <c r="A26" s="31" t="s">
        <v>203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topLeftCell="A52" workbookViewId="0">
      <selection activeCell="H68" sqref="H68"/>
    </sheetView>
  </sheetViews>
  <sheetFormatPr baseColWidth="10" defaultColWidth="8.83203125" defaultRowHeight="14" x14ac:dyDescent="0"/>
  <cols>
    <col min="1" max="1" width="11.33203125" customWidth="1"/>
    <col min="2" max="2" width="10.6640625" customWidth="1"/>
    <col min="3" max="3" width="10.5" customWidth="1"/>
    <col min="5" max="5" width="11.6640625" bestFit="1" customWidth="1"/>
    <col min="6" max="6" width="10.83203125" customWidth="1"/>
    <col min="7" max="7" width="11.6640625" bestFit="1" customWidth="1"/>
    <col min="8" max="8" width="10.6640625" bestFit="1" customWidth="1"/>
  </cols>
  <sheetData>
    <row r="1" spans="1:4" s="11" customFormat="1" ht="15">
      <c r="A1" s="10" t="s">
        <v>84</v>
      </c>
    </row>
    <row r="2" spans="1:4" s="11" customFormat="1" ht="30">
      <c r="A2" s="20" t="s">
        <v>85</v>
      </c>
      <c r="B2" s="20" t="s">
        <v>86</v>
      </c>
      <c r="C2" s="20" t="s">
        <v>87</v>
      </c>
      <c r="D2" s="24" t="s">
        <v>100</v>
      </c>
    </row>
    <row r="3" spans="1:4" s="11" customFormat="1" ht="15">
      <c r="A3" s="21">
        <v>0</v>
      </c>
      <c r="B3" s="22">
        <v>-34000</v>
      </c>
      <c r="C3" s="22">
        <v>-34000</v>
      </c>
      <c r="D3" s="25">
        <f>B3-C3</f>
        <v>0</v>
      </c>
    </row>
    <row r="4" spans="1:4" s="11" customFormat="1" ht="15">
      <c r="A4" s="21">
        <v>1</v>
      </c>
      <c r="B4" s="23">
        <v>16500</v>
      </c>
      <c r="C4" s="23">
        <v>5000</v>
      </c>
      <c r="D4" s="25">
        <f t="shared" ref="D4:D7" si="0">B4-C4</f>
        <v>11500</v>
      </c>
    </row>
    <row r="5" spans="1:4" s="11" customFormat="1" ht="15">
      <c r="A5" s="21">
        <v>2</v>
      </c>
      <c r="B5" s="23">
        <v>14000</v>
      </c>
      <c r="C5" s="23">
        <v>10000</v>
      </c>
      <c r="D5" s="25">
        <f t="shared" si="0"/>
        <v>4000</v>
      </c>
    </row>
    <row r="6" spans="1:4" s="11" customFormat="1" ht="15">
      <c r="A6" s="21">
        <v>3</v>
      </c>
      <c r="B6" s="23">
        <v>10000</v>
      </c>
      <c r="C6" s="23">
        <v>18000</v>
      </c>
      <c r="D6" s="25">
        <f t="shared" si="0"/>
        <v>-8000</v>
      </c>
    </row>
    <row r="7" spans="1:4" s="11" customFormat="1" ht="15">
      <c r="A7" s="21">
        <v>4</v>
      </c>
      <c r="B7" s="23">
        <v>6000</v>
      </c>
      <c r="C7" s="23">
        <v>19000</v>
      </c>
      <c r="D7" s="25">
        <f t="shared" si="0"/>
        <v>-13000</v>
      </c>
    </row>
    <row r="8" spans="1:4" s="11" customFormat="1" ht="15">
      <c r="A8" s="12" t="s">
        <v>92</v>
      </c>
    </row>
    <row r="9" spans="1:4" s="11" customFormat="1" ht="15">
      <c r="A9" s="12" t="s">
        <v>93</v>
      </c>
    </row>
    <row r="10" spans="1:4" s="11" customFormat="1" ht="15">
      <c r="A10" s="12" t="s">
        <v>94</v>
      </c>
    </row>
    <row r="11" spans="1:4" ht="15">
      <c r="A11" s="2"/>
    </row>
    <row r="12" spans="1:4">
      <c r="A12" s="9" t="s">
        <v>1</v>
      </c>
    </row>
    <row r="13" spans="1:4">
      <c r="A13" s="9" t="s">
        <v>90</v>
      </c>
      <c r="B13" s="6">
        <f>IRR(B3:B7)</f>
        <v>0.1660467202643614</v>
      </c>
      <c r="C13" s="6">
        <f>IRR(C3:C7)</f>
        <v>0.15719546421660824</v>
      </c>
    </row>
    <row r="14" spans="1:4">
      <c r="A14" s="9" t="s">
        <v>95</v>
      </c>
      <c r="B14" s="6"/>
      <c r="C14" s="6"/>
    </row>
    <row r="15" spans="1:4">
      <c r="A15" s="9" t="s">
        <v>5</v>
      </c>
    </row>
    <row r="16" spans="1:4">
      <c r="A16" s="9" t="s">
        <v>91</v>
      </c>
      <c r="B16" s="7">
        <f>NPV(11%,B4:B7)+B3</f>
        <v>3491.8785881611329</v>
      </c>
      <c r="C16" s="7">
        <f>NPV(11%,C4:C7)+C3</f>
        <v>4298.0622091171535</v>
      </c>
    </row>
    <row r="17" spans="1:3">
      <c r="A17" s="9" t="s">
        <v>97</v>
      </c>
    </row>
    <row r="18" spans="1:3">
      <c r="A18" s="9" t="s">
        <v>98</v>
      </c>
      <c r="B18" t="s">
        <v>99</v>
      </c>
    </row>
    <row r="19" spans="1:3">
      <c r="A19" s="9" t="s">
        <v>101</v>
      </c>
      <c r="B19" s="6">
        <f>IRR(D3:D7)</f>
        <v>0.13746641474639598</v>
      </c>
    </row>
    <row r="20" spans="1:3">
      <c r="A20" s="9" t="s">
        <v>102</v>
      </c>
    </row>
    <row r="21" spans="1:3">
      <c r="A21" s="9" t="s">
        <v>103</v>
      </c>
    </row>
    <row r="22" spans="1:3">
      <c r="A22" s="9" t="s">
        <v>104</v>
      </c>
    </row>
    <row r="23" spans="1:3">
      <c r="A23" s="9" t="s">
        <v>105</v>
      </c>
    </row>
    <row r="24" spans="1:3">
      <c r="A24" s="9" t="s">
        <v>106</v>
      </c>
    </row>
    <row r="25" spans="1:3">
      <c r="A25" s="9" t="s">
        <v>107</v>
      </c>
      <c r="B25" t="s">
        <v>108</v>
      </c>
      <c r="C25" t="s">
        <v>109</v>
      </c>
    </row>
    <row r="26" spans="1:3">
      <c r="A26" s="9">
        <v>0</v>
      </c>
      <c r="B26" s="19">
        <f>NPV($A26,B$4:B$7)+B$3</f>
        <v>12500</v>
      </c>
      <c r="C26" s="19">
        <f>NPV($A26,C$4:C$7)+C$3</f>
        <v>18000</v>
      </c>
    </row>
    <row r="27" spans="1:3">
      <c r="A27" s="9">
        <v>0.05</v>
      </c>
      <c r="B27" s="19">
        <f t="shared" ref="B27:C30" si="1">NPV($A27,B$4:B$7)+B$3</f>
        <v>7987.289246764456</v>
      </c>
      <c r="C27" s="19">
        <f t="shared" si="1"/>
        <v>11012.623341097584</v>
      </c>
    </row>
    <row r="28" spans="1:3">
      <c r="A28" s="9">
        <v>0.1</v>
      </c>
      <c r="B28" s="19">
        <f t="shared" si="1"/>
        <v>4181.4766750904892</v>
      </c>
      <c r="C28" s="19">
        <f t="shared" si="1"/>
        <v>5310.8394235366286</v>
      </c>
    </row>
    <row r="29" spans="1:3">
      <c r="A29" s="9">
        <v>0.15</v>
      </c>
      <c r="B29" s="19">
        <f t="shared" si="1"/>
        <v>939.51922698962153</v>
      </c>
      <c r="C29" s="19">
        <f t="shared" si="1"/>
        <v>607.86660996780847</v>
      </c>
    </row>
    <row r="30" spans="1:3">
      <c r="A30" s="9">
        <v>0.2</v>
      </c>
      <c r="B30" s="19">
        <f t="shared" si="1"/>
        <v>-1847.2222222222263</v>
      </c>
      <c r="C30" s="19">
        <f t="shared" si="1"/>
        <v>-3309.41358024691</v>
      </c>
    </row>
    <row r="31" spans="1:3">
      <c r="A31" s="9"/>
    </row>
    <row r="32" spans="1:3">
      <c r="A32" s="9"/>
    </row>
    <row r="33" spans="1:10">
      <c r="A33" s="9"/>
    </row>
    <row r="34" spans="1:10" ht="15">
      <c r="A34" s="1"/>
    </row>
    <row r="35" spans="1:10" ht="15">
      <c r="A35" s="10" t="s">
        <v>88</v>
      </c>
      <c r="B35" s="11"/>
      <c r="C35" s="11"/>
      <c r="D35" s="11"/>
      <c r="E35" s="11"/>
      <c r="F35" s="11"/>
    </row>
    <row r="36" spans="1:10" ht="30">
      <c r="A36" s="20" t="s">
        <v>85</v>
      </c>
      <c r="B36" s="20" t="s">
        <v>86</v>
      </c>
      <c r="C36" s="20" t="s">
        <v>87</v>
      </c>
      <c r="D36" s="11"/>
      <c r="G36" s="24" t="s">
        <v>127</v>
      </c>
      <c r="H36" s="24" t="s">
        <v>128</v>
      </c>
    </row>
    <row r="37" spans="1:10" ht="15">
      <c r="A37" s="21">
        <v>0</v>
      </c>
      <c r="B37" s="22">
        <v>-210000</v>
      </c>
      <c r="C37" s="22">
        <v>-21000</v>
      </c>
      <c r="D37" s="11"/>
      <c r="G37" s="28">
        <f>-PV($J$42,$A37,,B37)</f>
        <v>-210000</v>
      </c>
      <c r="H37" s="28">
        <f>-PV($J$42,$A37,,C37)</f>
        <v>-21000</v>
      </c>
    </row>
    <row r="38" spans="1:10" ht="15">
      <c r="A38" s="21">
        <v>1</v>
      </c>
      <c r="B38" s="23">
        <v>15000</v>
      </c>
      <c r="C38" s="23">
        <v>11000</v>
      </c>
      <c r="D38" s="11"/>
      <c r="G38" s="28">
        <f t="shared" ref="G38:H41" si="2">-PV($J$42,$A38,,B38)</f>
        <v>13043.478260869566</v>
      </c>
      <c r="H38" s="28">
        <f t="shared" si="2"/>
        <v>9565.217391304348</v>
      </c>
    </row>
    <row r="39" spans="1:10" ht="15">
      <c r="A39" s="21">
        <v>2</v>
      </c>
      <c r="B39" s="23">
        <v>30000</v>
      </c>
      <c r="C39" s="23">
        <v>9000</v>
      </c>
      <c r="D39" s="11"/>
      <c r="G39" s="28">
        <f t="shared" si="2"/>
        <v>22684.310018903594</v>
      </c>
      <c r="H39" s="28">
        <f t="shared" si="2"/>
        <v>6805.2930056710784</v>
      </c>
    </row>
    <row r="40" spans="1:10" ht="15">
      <c r="A40" s="21">
        <v>3</v>
      </c>
      <c r="B40" s="23">
        <v>30000</v>
      </c>
      <c r="C40" s="23">
        <v>11000</v>
      </c>
      <c r="D40" s="11"/>
      <c r="G40" s="28">
        <f t="shared" si="2"/>
        <v>19725.48697295965</v>
      </c>
      <c r="H40" s="28">
        <f t="shared" si="2"/>
        <v>7232.6785567518718</v>
      </c>
    </row>
    <row r="41" spans="1:10" ht="15">
      <c r="A41" s="21">
        <v>4</v>
      </c>
      <c r="B41" s="23">
        <v>370000</v>
      </c>
      <c r="C41" s="23">
        <v>9000</v>
      </c>
      <c r="D41" s="11"/>
      <c r="G41" s="28">
        <f t="shared" si="2"/>
        <v>211548.70086942235</v>
      </c>
      <c r="H41" s="28">
        <f t="shared" si="2"/>
        <v>5145.7792103373004</v>
      </c>
    </row>
    <row r="42" spans="1:10" ht="15">
      <c r="A42" s="10" t="s">
        <v>89</v>
      </c>
      <c r="B42" s="11"/>
      <c r="C42" s="11"/>
      <c r="D42" s="11"/>
      <c r="E42" s="11"/>
      <c r="F42" s="11"/>
      <c r="I42" t="s">
        <v>107</v>
      </c>
      <c r="J42" s="9">
        <v>0.15</v>
      </c>
    </row>
    <row r="43" spans="1:10" ht="15">
      <c r="A43" s="12" t="s">
        <v>110</v>
      </c>
      <c r="B43" s="11"/>
      <c r="C43" s="11"/>
      <c r="D43" s="11"/>
      <c r="E43" s="11"/>
      <c r="F43" s="11"/>
    </row>
    <row r="44" spans="1:10" ht="15">
      <c r="A44" s="12" t="s">
        <v>111</v>
      </c>
      <c r="B44" s="11"/>
      <c r="C44" s="11"/>
      <c r="D44" s="11"/>
      <c r="E44" s="11"/>
      <c r="F44" s="11"/>
    </row>
    <row r="45" spans="1:10" ht="15">
      <c r="A45" s="12" t="s">
        <v>112</v>
      </c>
      <c r="B45" s="11"/>
      <c r="C45" s="11"/>
      <c r="D45" s="11"/>
      <c r="E45" s="11"/>
      <c r="F45" s="11"/>
    </row>
    <row r="46" spans="1:10" ht="15">
      <c r="A46" s="12" t="s">
        <v>113</v>
      </c>
      <c r="B46" s="11"/>
      <c r="C46" s="11"/>
      <c r="D46" s="11"/>
      <c r="E46" s="11"/>
      <c r="F46" s="11"/>
    </row>
    <row r="47" spans="1:10" ht="15">
      <c r="A47" s="12" t="s">
        <v>114</v>
      </c>
      <c r="B47" s="11"/>
      <c r="C47" s="11"/>
      <c r="D47" s="11"/>
      <c r="E47" s="11"/>
      <c r="F47" s="11"/>
    </row>
    <row r="48" spans="1:10" ht="15">
      <c r="A48" s="12" t="s">
        <v>115</v>
      </c>
      <c r="B48" s="11"/>
      <c r="C48" s="11"/>
      <c r="D48" s="11"/>
      <c r="E48" s="11"/>
      <c r="F48" s="11"/>
    </row>
    <row r="50" spans="1:8">
      <c r="A50" s="26" t="s">
        <v>116</v>
      </c>
      <c r="B50" t="s">
        <v>118</v>
      </c>
      <c r="C50" t="s">
        <v>96</v>
      </c>
      <c r="F50" t="s">
        <v>5</v>
      </c>
    </row>
    <row r="52" spans="1:8">
      <c r="A52" s="24" t="s">
        <v>119</v>
      </c>
      <c r="B52" s="19">
        <f>B37+B38</f>
        <v>-195000</v>
      </c>
      <c r="C52" s="19">
        <f>C37+C38</f>
        <v>-10000</v>
      </c>
      <c r="G52" s="19">
        <f>G37+G38</f>
        <v>-196956.52173913043</v>
      </c>
      <c r="H52" s="19">
        <f>H37+H38</f>
        <v>-11434.782608695652</v>
      </c>
    </row>
    <row r="53" spans="1:8">
      <c r="A53" s="13" t="s">
        <v>120</v>
      </c>
      <c r="B53" s="19">
        <f>B52+B39</f>
        <v>-165000</v>
      </c>
      <c r="C53" s="19">
        <f>C52+C39</f>
        <v>-1000</v>
      </c>
      <c r="G53" s="19">
        <f>G52+G39</f>
        <v>-174272.21172022683</v>
      </c>
      <c r="H53" s="19">
        <f>H52+H39</f>
        <v>-4629.4896030245736</v>
      </c>
    </row>
    <row r="54" spans="1:8">
      <c r="A54" s="24" t="s">
        <v>121</v>
      </c>
      <c r="B54" s="19">
        <f t="shared" ref="B54" si="3">B53+B40</f>
        <v>-135000</v>
      </c>
      <c r="C54" s="19" t="s">
        <v>123</v>
      </c>
      <c r="G54" s="19">
        <f t="shared" ref="G54" si="4">G53+G40</f>
        <v>-154546.72474726717</v>
      </c>
      <c r="H54" s="19" t="s">
        <v>123</v>
      </c>
    </row>
    <row r="55" spans="1:8">
      <c r="A55" s="13" t="s">
        <v>122</v>
      </c>
      <c r="B55" s="19" t="s">
        <v>123</v>
      </c>
      <c r="C55" s="27">
        <f>-C53/C40</f>
        <v>9.0909090909090912E-2</v>
      </c>
      <c r="G55" s="19" t="s">
        <v>123</v>
      </c>
      <c r="H55" s="27">
        <f>-H53/H40</f>
        <v>0.64007954545454515</v>
      </c>
    </row>
    <row r="56" spans="1:8">
      <c r="A56" s="24"/>
      <c r="B56" s="27">
        <f>B54/-B41</f>
        <v>0.36486486486486486</v>
      </c>
      <c r="G56" s="27">
        <f>G54/-G41</f>
        <v>0.7305491554054051</v>
      </c>
    </row>
    <row r="57" spans="1:8">
      <c r="A57" s="26" t="s">
        <v>117</v>
      </c>
      <c r="B57" t="s">
        <v>124</v>
      </c>
      <c r="C57" t="s">
        <v>125</v>
      </c>
      <c r="G57" t="s">
        <v>131</v>
      </c>
      <c r="H57" t="s">
        <v>132</v>
      </c>
    </row>
    <row r="58" spans="1:8">
      <c r="A58" s="24" t="s">
        <v>126</v>
      </c>
      <c r="F58" t="s">
        <v>129</v>
      </c>
    </row>
    <row r="59" spans="1:8">
      <c r="A59" s="13"/>
    </row>
    <row r="60" spans="1:8">
      <c r="A60" s="13" t="s">
        <v>98</v>
      </c>
    </row>
    <row r="61" spans="1:8">
      <c r="A61" s="13" t="s">
        <v>130</v>
      </c>
      <c r="B61" s="7">
        <f>NPV($J$42,B38:B41)+B37</f>
        <v>57001.976122155203</v>
      </c>
      <c r="C61" s="7">
        <f>NPV($J$42,C38:C41)+C37</f>
        <v>7748.9681640646013</v>
      </c>
    </row>
    <row r="62" spans="1:8">
      <c r="A62" s="13" t="s">
        <v>133</v>
      </c>
    </row>
    <row r="63" spans="1:8">
      <c r="A63" s="13"/>
    </row>
    <row r="64" spans="1:8">
      <c r="A64" s="13" t="s">
        <v>37</v>
      </c>
    </row>
    <row r="65" spans="1:3">
      <c r="A65" s="13" t="s">
        <v>90</v>
      </c>
      <c r="B65" s="6">
        <f>IRR(B37:B41)</f>
        <v>0.22966782194229385</v>
      </c>
      <c r="C65" s="6">
        <f>IRR(C37:C41)</f>
        <v>0.32730337950257149</v>
      </c>
    </row>
    <row r="66" spans="1:3">
      <c r="A66" s="13" t="s">
        <v>134</v>
      </c>
    </row>
    <row r="67" spans="1:3">
      <c r="A67" s="13"/>
    </row>
    <row r="68" spans="1:3">
      <c r="A68" s="13" t="s">
        <v>40</v>
      </c>
    </row>
    <row r="69" spans="1:3">
      <c r="A69" s="13" t="s">
        <v>135</v>
      </c>
      <c r="B69" s="27">
        <f>NPV($J$42,B38:B41)/-B37</f>
        <v>1.2714379815340724</v>
      </c>
      <c r="C69" s="27">
        <f>NPV($J$42,C38:C41)/-C37</f>
        <v>1.3689984840030762</v>
      </c>
    </row>
    <row r="70" spans="1:3">
      <c r="A70" s="13" t="s">
        <v>136</v>
      </c>
    </row>
    <row r="71" spans="1:3">
      <c r="A71" s="13"/>
    </row>
    <row r="72" spans="1:3">
      <c r="A72" s="13" t="s">
        <v>137</v>
      </c>
    </row>
    <row r="73" spans="1:3">
      <c r="A73" s="13" t="s">
        <v>138</v>
      </c>
    </row>
    <row r="74" spans="1:3">
      <c r="A74" s="13"/>
    </row>
    <row r="75" spans="1:3">
      <c r="A75" s="13"/>
    </row>
    <row r="76" spans="1:3">
      <c r="A76" s="13"/>
    </row>
    <row r="77" spans="1:3">
      <c r="A77" s="13"/>
    </row>
    <row r="78" spans="1:3">
      <c r="A78" s="13"/>
    </row>
    <row r="79" spans="1:3">
      <c r="A79" s="13"/>
    </row>
    <row r="80" spans="1:3">
      <c r="A80" s="13"/>
    </row>
    <row r="81" spans="1:1">
      <c r="A81" s="13"/>
    </row>
    <row r="82" spans="1:1">
      <c r="A82" s="13"/>
    </row>
    <row r="83" spans="1:1">
      <c r="A83" s="13"/>
    </row>
    <row r="84" spans="1:1">
      <c r="A84" s="13"/>
    </row>
    <row r="85" spans="1:1">
      <c r="A85" s="13"/>
    </row>
    <row r="86" spans="1:1">
      <c r="A86" s="13"/>
    </row>
    <row r="87" spans="1:1">
      <c r="A87" s="13"/>
    </row>
    <row r="88" spans="1:1">
      <c r="A88" s="13"/>
    </row>
    <row r="89" spans="1:1">
      <c r="A89" s="13"/>
    </row>
    <row r="90" spans="1:1">
      <c r="A90" s="13"/>
    </row>
    <row r="91" spans="1:1">
      <c r="A91" s="13"/>
    </row>
    <row r="92" spans="1:1">
      <c r="A92" s="13"/>
    </row>
    <row r="93" spans="1:1">
      <c r="A93" s="13"/>
    </row>
    <row r="94" spans="1:1">
      <c r="A94" s="13"/>
    </row>
    <row r="95" spans="1:1">
      <c r="A95" s="13"/>
    </row>
    <row r="96" spans="1:1">
      <c r="A96" s="13"/>
    </row>
    <row r="97" spans="1:1">
      <c r="A97" s="13"/>
    </row>
    <row r="98" spans="1:1">
      <c r="A98" s="13"/>
    </row>
    <row r="99" spans="1:1">
      <c r="A99" s="13"/>
    </row>
    <row r="100" spans="1:1">
      <c r="A100" s="13"/>
    </row>
    <row r="101" spans="1:1">
      <c r="A101" s="13"/>
    </row>
    <row r="102" spans="1:1">
      <c r="A102" s="13"/>
    </row>
    <row r="103" spans="1:1">
      <c r="A103" s="13"/>
    </row>
    <row r="104" spans="1:1">
      <c r="A104" s="13"/>
    </row>
    <row r="105" spans="1:1">
      <c r="A105" s="13"/>
    </row>
    <row r="106" spans="1:1">
      <c r="A106" s="13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Q7</vt:lpstr>
      <vt:lpstr>Q7b</vt:lpstr>
      <vt:lpstr>Q7c</vt:lpstr>
      <vt:lpstr>C7 Questions</vt:lpstr>
      <vt:lpstr>Q8a</vt:lpstr>
      <vt:lpstr>Q8b</vt:lpstr>
      <vt:lpstr>Q8c</vt:lpstr>
      <vt:lpstr>C8 Questions</vt:lpstr>
      <vt:lpstr>Q9a</vt:lpstr>
      <vt:lpstr>Q9b</vt:lpstr>
      <vt:lpstr>C9 Questions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Tirsan Hujaleh</cp:lastModifiedBy>
  <dcterms:created xsi:type="dcterms:W3CDTF">2013-04-15T19:16:20Z</dcterms:created>
  <dcterms:modified xsi:type="dcterms:W3CDTF">2015-08-07T02:48:06Z</dcterms:modified>
</cp:coreProperties>
</file>