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580" tabRatio="500" firstSheet="3" activeTab="9"/>
  </bookViews>
  <sheets>
    <sheet name="chapter 9 example" sheetId="1" r:id="rId1"/>
    <sheet name="question1" sheetId="2" r:id="rId2"/>
    <sheet name="question 2" sheetId="3" r:id="rId3"/>
    <sheet name="chapter 14" sheetId="4" r:id="rId4"/>
    <sheet name="#1" sheetId="5" r:id="rId5"/>
    <sheet name="#2" sheetId="6" r:id="rId6"/>
    <sheet name="#3" sheetId="7" r:id="rId7"/>
    <sheet name="Sheet1" sheetId="11" r:id="rId8"/>
    <sheet name="practice exam question" sheetId="8" r:id="rId9"/>
    <sheet name="Sheet2" sheetId="12" r:id="rId10"/>
  </sheets>
  <definedNames>
    <definedName name="_xlnm._FilterDatabase" localSheetId="8" hidden="1">'practice exam question'!$G$47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3" i="11" l="1"/>
  <c r="A104" i="11"/>
  <c r="A102" i="11"/>
  <c r="I100" i="11"/>
  <c r="I99" i="11"/>
  <c r="G99" i="11"/>
  <c r="G98" i="11"/>
  <c r="I98" i="11"/>
  <c r="D98" i="11"/>
  <c r="E98" i="11"/>
  <c r="E97" i="11"/>
  <c r="D97" i="11"/>
  <c r="E96" i="11"/>
  <c r="D96" i="11"/>
  <c r="E95" i="11"/>
  <c r="D95" i="11"/>
  <c r="E94" i="11"/>
  <c r="C95" i="11"/>
  <c r="C96" i="11"/>
  <c r="C97" i="11"/>
  <c r="C98" i="11"/>
  <c r="C94" i="11"/>
  <c r="H90" i="11"/>
  <c r="F89" i="11"/>
  <c r="F88" i="11"/>
  <c r="I88" i="11"/>
  <c r="D88" i="11"/>
  <c r="B88" i="11"/>
  <c r="D87" i="11"/>
  <c r="D86" i="11"/>
  <c r="B86" i="11"/>
  <c r="D85" i="11"/>
  <c r="B156" i="1"/>
  <c r="C81" i="11"/>
  <c r="E55" i="11"/>
  <c r="C79" i="11"/>
  <c r="B79" i="11"/>
  <c r="C78" i="11"/>
  <c r="B78" i="11"/>
  <c r="F74" i="11"/>
  <c r="F73" i="11"/>
  <c r="F72" i="11"/>
  <c r="F71" i="11"/>
  <c r="F70" i="11"/>
  <c r="F68" i="11"/>
  <c r="F69" i="11"/>
  <c r="F67" i="11"/>
  <c r="D72" i="11"/>
  <c r="H77" i="11"/>
  <c r="H76" i="11"/>
  <c r="H72" i="11"/>
  <c r="G71" i="11"/>
  <c r="D70" i="11"/>
  <c r="C73" i="11"/>
  <c r="C68" i="11"/>
  <c r="C69" i="11"/>
  <c r="C70" i="11"/>
  <c r="C71" i="11"/>
  <c r="C72" i="11"/>
  <c r="C67" i="11"/>
  <c r="B73" i="11"/>
  <c r="B70" i="11"/>
  <c r="B69" i="11"/>
  <c r="B67" i="11"/>
  <c r="C83" i="8"/>
  <c r="A67" i="12"/>
  <c r="A66" i="12"/>
  <c r="F61" i="12"/>
  <c r="F60" i="12"/>
  <c r="G60" i="12"/>
  <c r="D59" i="12"/>
  <c r="E59" i="12"/>
  <c r="D60" i="12"/>
  <c r="E60" i="12"/>
  <c r="D61" i="12"/>
  <c r="E61" i="12"/>
  <c r="E58" i="12"/>
  <c r="D58" i="12"/>
  <c r="E57" i="12"/>
  <c r="D57" i="12"/>
  <c r="C61" i="12"/>
  <c r="C59" i="12"/>
  <c r="C60" i="12"/>
  <c r="C58" i="12"/>
  <c r="C57" i="12"/>
  <c r="D69" i="8"/>
  <c r="G50" i="12"/>
  <c r="F50" i="12"/>
  <c r="H49" i="12"/>
  <c r="D50" i="12"/>
  <c r="B50" i="12"/>
  <c r="D49" i="12"/>
  <c r="B49" i="12"/>
  <c r="D48" i="12"/>
  <c r="D30" i="12"/>
  <c r="C45" i="12"/>
  <c r="D54" i="11"/>
  <c r="D55" i="11"/>
  <c r="D56" i="11"/>
  <c r="D57" i="11"/>
  <c r="D53" i="11"/>
  <c r="D29" i="12"/>
  <c r="D31" i="12"/>
  <c r="D32" i="12"/>
  <c r="D28" i="12"/>
  <c r="C43" i="12"/>
  <c r="B43" i="12"/>
  <c r="C42" i="12"/>
  <c r="B42" i="12"/>
  <c r="G26" i="12"/>
  <c r="G25" i="12"/>
  <c r="F25" i="12"/>
  <c r="F24" i="12"/>
  <c r="F23" i="12"/>
  <c r="F22" i="12"/>
  <c r="B22" i="12"/>
  <c r="B25" i="12"/>
  <c r="C22" i="12"/>
  <c r="C23" i="12"/>
  <c r="C24" i="12"/>
  <c r="C25" i="12"/>
  <c r="I25" i="12"/>
  <c r="I21" i="12"/>
  <c r="D24" i="12"/>
  <c r="D23" i="12"/>
  <c r="J25" i="12"/>
  <c r="D22" i="12"/>
  <c r="J23" i="12"/>
  <c r="B24" i="12"/>
  <c r="B23" i="12"/>
  <c r="B42" i="6"/>
  <c r="C85" i="8"/>
  <c r="C84" i="8"/>
  <c r="B83" i="8"/>
  <c r="B84" i="8"/>
  <c r="B85" i="8"/>
  <c r="H72" i="8"/>
  <c r="G72" i="8"/>
  <c r="E72" i="8"/>
  <c r="E70" i="8"/>
  <c r="E71" i="8"/>
  <c r="C73" i="8"/>
  <c r="C72" i="8"/>
  <c r="C71" i="8"/>
  <c r="E73" i="8"/>
  <c r="D70" i="8"/>
  <c r="D71" i="8"/>
  <c r="D72" i="8"/>
  <c r="D73" i="8"/>
  <c r="C122" i="1"/>
  <c r="B75" i="8"/>
  <c r="F69" i="8"/>
  <c r="F68" i="8"/>
  <c r="H63" i="8"/>
  <c r="H62" i="8"/>
  <c r="H61" i="8"/>
  <c r="D59" i="8"/>
  <c r="C59" i="8"/>
  <c r="I70" i="1"/>
  <c r="C50" i="8"/>
  <c r="C51" i="8"/>
  <c r="C52" i="8"/>
  <c r="C53" i="8"/>
  <c r="C54" i="8"/>
  <c r="C49" i="8"/>
  <c r="B52" i="8"/>
  <c r="A52" i="8"/>
  <c r="B50" i="8"/>
  <c r="B51" i="8"/>
  <c r="B53" i="8"/>
  <c r="B54" i="8"/>
  <c r="B49" i="8"/>
  <c r="D46" i="8"/>
  <c r="D42" i="8"/>
  <c r="D41" i="8"/>
  <c r="C38" i="8"/>
  <c r="B38" i="8"/>
  <c r="J25" i="8"/>
  <c r="D24" i="8"/>
  <c r="F24" i="8"/>
  <c r="F25" i="8"/>
  <c r="G25" i="8"/>
  <c r="C37" i="8"/>
  <c r="B37" i="8"/>
  <c r="C25" i="8"/>
  <c r="B25" i="8"/>
  <c r="C24" i="8"/>
  <c r="C21" i="8"/>
  <c r="F21" i="8"/>
  <c r="C20" i="8"/>
  <c r="F20" i="8"/>
  <c r="C19" i="8"/>
  <c r="F19" i="8"/>
  <c r="C22" i="8"/>
  <c r="F22" i="8"/>
  <c r="C23" i="8"/>
  <c r="F23" i="8"/>
  <c r="J24" i="8"/>
  <c r="J23" i="8"/>
  <c r="D22" i="8"/>
  <c r="B22" i="8"/>
  <c r="G26" i="7"/>
  <c r="D26" i="7"/>
  <c r="G27" i="5"/>
  <c r="C37" i="7"/>
  <c r="D37" i="7"/>
  <c r="B26" i="7"/>
  <c r="B27" i="7"/>
  <c r="B28" i="7"/>
  <c r="B29" i="7"/>
  <c r="C26" i="7"/>
  <c r="C27" i="7"/>
  <c r="D27" i="7"/>
  <c r="G27" i="7"/>
  <c r="C28" i="7"/>
  <c r="D28" i="7"/>
  <c r="G28" i="7"/>
  <c r="G29" i="7"/>
  <c r="H29" i="7"/>
  <c r="C13" i="6"/>
  <c r="C14" i="6"/>
  <c r="C18" i="6"/>
  <c r="B35" i="6"/>
  <c r="C40" i="6"/>
  <c r="F26" i="6"/>
  <c r="D40" i="6"/>
  <c r="F40" i="6"/>
  <c r="B36" i="6"/>
  <c r="C41" i="6"/>
  <c r="J26" i="6"/>
  <c r="D41" i="6"/>
  <c r="F41" i="6"/>
  <c r="D16" i="6"/>
  <c r="D17" i="6"/>
  <c r="B37" i="6"/>
  <c r="C42" i="6"/>
  <c r="C25" i="6"/>
  <c r="C26" i="6"/>
  <c r="D42" i="6"/>
  <c r="E42" i="6"/>
  <c r="F42" i="6"/>
  <c r="F43" i="6"/>
  <c r="G43" i="6"/>
  <c r="B43" i="6"/>
  <c r="B41" i="6"/>
  <c r="B40" i="6"/>
  <c r="B14" i="5"/>
  <c r="B24" i="5"/>
  <c r="B25" i="5"/>
  <c r="B20" i="5"/>
  <c r="B26" i="5"/>
  <c r="B27" i="5"/>
  <c r="C24" i="5"/>
  <c r="F24" i="5"/>
  <c r="C25" i="5"/>
  <c r="F25" i="5"/>
  <c r="C26" i="5"/>
  <c r="F26" i="5"/>
  <c r="F27" i="5"/>
  <c r="B91" i="4"/>
  <c r="B81" i="4"/>
  <c r="F80" i="4"/>
  <c r="D80" i="4"/>
  <c r="B80" i="4"/>
  <c r="D77" i="4"/>
  <c r="C77" i="4"/>
  <c r="C76" i="4"/>
  <c r="C75" i="4"/>
  <c r="B78" i="4"/>
  <c r="C63" i="4"/>
  <c r="B63" i="4"/>
  <c r="D62" i="4"/>
  <c r="C62" i="4"/>
  <c r="B62" i="4"/>
  <c r="B57" i="4"/>
  <c r="B49" i="4"/>
  <c r="E81" i="3"/>
  <c r="B93" i="3"/>
  <c r="D93" i="3"/>
  <c r="C93" i="3"/>
  <c r="D90" i="3"/>
  <c r="D91" i="3"/>
  <c r="D92" i="3"/>
  <c r="D94" i="3"/>
  <c r="D95" i="3"/>
  <c r="D96" i="3"/>
  <c r="D97" i="3"/>
  <c r="D89" i="3"/>
  <c r="C90" i="3"/>
  <c r="C91" i="3"/>
  <c r="C92" i="3"/>
  <c r="C94" i="3"/>
  <c r="C95" i="3"/>
  <c r="C96" i="3"/>
  <c r="C97" i="3"/>
  <c r="C89" i="3"/>
  <c r="B84" i="3"/>
  <c r="D77" i="3"/>
  <c r="D78" i="3"/>
  <c r="D79" i="3"/>
  <c r="D80" i="3"/>
  <c r="D76" i="3"/>
  <c r="C73" i="3"/>
  <c r="B73" i="3"/>
  <c r="C69" i="3"/>
  <c r="B69" i="3"/>
  <c r="B42" i="3"/>
  <c r="B41" i="3"/>
  <c r="B40" i="3"/>
  <c r="B37" i="3"/>
  <c r="I32" i="3"/>
  <c r="I31" i="3"/>
  <c r="K32" i="3"/>
  <c r="K31" i="3"/>
  <c r="K30" i="3"/>
  <c r="E31" i="3"/>
  <c r="E30" i="3"/>
  <c r="E29" i="3"/>
  <c r="E28" i="3"/>
  <c r="E27" i="3"/>
  <c r="G31" i="3"/>
  <c r="G30" i="3"/>
  <c r="G29" i="3"/>
  <c r="G28" i="3"/>
  <c r="G27" i="3"/>
  <c r="F31" i="3"/>
  <c r="F30" i="3"/>
  <c r="F29" i="3"/>
  <c r="F28" i="3"/>
  <c r="F27" i="3"/>
  <c r="G26" i="3"/>
  <c r="F26" i="3"/>
  <c r="D27" i="3"/>
  <c r="D28" i="3"/>
  <c r="D29" i="3"/>
  <c r="D30" i="3"/>
  <c r="D31" i="3"/>
  <c r="D26" i="3"/>
  <c r="F21" i="3"/>
  <c r="F20" i="3"/>
  <c r="I21" i="3"/>
  <c r="I20" i="3"/>
  <c r="I19" i="3"/>
  <c r="C21" i="3"/>
  <c r="C20" i="3"/>
  <c r="C19" i="3"/>
  <c r="E21" i="3"/>
  <c r="E20" i="3"/>
  <c r="E19" i="3"/>
  <c r="E18" i="3"/>
  <c r="C18" i="3"/>
  <c r="E17" i="3"/>
  <c r="C17" i="3"/>
  <c r="E16" i="3"/>
  <c r="D16" i="3"/>
  <c r="B158" i="1"/>
  <c r="B157" i="1"/>
  <c r="F149" i="1"/>
  <c r="G146" i="1"/>
  <c r="F147" i="1"/>
  <c r="C149" i="1"/>
  <c r="C148" i="1"/>
  <c r="C147" i="1"/>
  <c r="C146" i="1"/>
  <c r="E127" i="1"/>
  <c r="H126" i="1"/>
  <c r="H125" i="1"/>
  <c r="J125" i="1"/>
  <c r="J124" i="1"/>
  <c r="J123" i="1"/>
  <c r="F122" i="1"/>
  <c r="F123" i="1"/>
  <c r="F124" i="1"/>
  <c r="D125" i="1"/>
  <c r="D124" i="1"/>
  <c r="D123" i="1"/>
  <c r="F125" i="1"/>
  <c r="E123" i="1"/>
  <c r="E124" i="1"/>
  <c r="E125" i="1"/>
  <c r="E122" i="1"/>
  <c r="C125" i="1"/>
  <c r="C123" i="1"/>
  <c r="C124" i="1"/>
  <c r="B116" i="1"/>
  <c r="B97" i="1"/>
  <c r="C62" i="2"/>
  <c r="B62" i="2"/>
  <c r="C63" i="2"/>
  <c r="B63" i="2"/>
  <c r="C60" i="2"/>
  <c r="B60" i="2"/>
  <c r="C61" i="2"/>
  <c r="B61" i="2"/>
  <c r="A61" i="2"/>
  <c r="C59" i="2"/>
  <c r="B59" i="2"/>
  <c r="A55" i="2"/>
  <c r="D50" i="2"/>
  <c r="B50" i="2"/>
  <c r="B51" i="2"/>
  <c r="B52" i="2"/>
  <c r="B49" i="2"/>
  <c r="E45" i="2"/>
  <c r="B45" i="2"/>
  <c r="D41" i="2"/>
  <c r="A41" i="2"/>
  <c r="C100" i="1"/>
  <c r="B100" i="1"/>
  <c r="A100" i="1"/>
  <c r="G76" i="1"/>
  <c r="G77" i="1"/>
  <c r="G78" i="1"/>
  <c r="G79" i="1"/>
  <c r="G80" i="1"/>
  <c r="G81" i="1"/>
  <c r="C98" i="1"/>
  <c r="C103" i="1"/>
  <c r="C102" i="1"/>
  <c r="C101" i="1"/>
  <c r="C99" i="1"/>
  <c r="C97" i="1"/>
  <c r="B103" i="1"/>
  <c r="B102" i="1"/>
  <c r="B101" i="1"/>
  <c r="B99" i="1"/>
  <c r="B98" i="1"/>
  <c r="E92" i="1"/>
  <c r="E93" i="1"/>
  <c r="B92" i="1"/>
  <c r="B93" i="1"/>
  <c r="E87" i="1"/>
  <c r="E88" i="1"/>
  <c r="B87" i="1"/>
  <c r="B88" i="1"/>
  <c r="E84" i="1"/>
  <c r="B84" i="1"/>
  <c r="I29" i="2"/>
  <c r="I30" i="2"/>
  <c r="F28" i="2"/>
  <c r="F29" i="2"/>
  <c r="I28" i="2"/>
  <c r="B29" i="2"/>
  <c r="B28" i="2"/>
  <c r="B27" i="2"/>
  <c r="D27" i="2"/>
  <c r="D28" i="2"/>
  <c r="D29" i="2"/>
  <c r="D26" i="2"/>
  <c r="A20" i="2"/>
  <c r="A17" i="2"/>
  <c r="A16" i="2"/>
  <c r="F68" i="1"/>
  <c r="F69" i="1"/>
  <c r="D68" i="1"/>
  <c r="D67" i="1"/>
  <c r="D66" i="1"/>
  <c r="B44" i="1"/>
  <c r="B25" i="1"/>
  <c r="B26" i="1"/>
</calcChain>
</file>

<file path=xl/sharedStrings.xml><?xml version="1.0" encoding="utf-8"?>
<sst xmlns="http://schemas.openxmlformats.org/spreadsheetml/2006/main" count="642" uniqueCount="356">
  <si>
    <t>Net Present value(NPV)</t>
  </si>
  <si>
    <t>The Payback Rule</t>
  </si>
  <si>
    <t>Discounted payback rule</t>
  </si>
  <si>
    <t>internal rate of return(iRR)</t>
  </si>
  <si>
    <t>the profitability index</t>
  </si>
  <si>
    <t>mutually excusive projects</t>
  </si>
  <si>
    <t>1) Net present value-" best approach"</t>
  </si>
  <si>
    <t>Rate</t>
  </si>
  <si>
    <t>Years</t>
  </si>
  <si>
    <t>cash flows</t>
  </si>
  <si>
    <t>NPV&gt;0</t>
  </si>
  <si>
    <t>NPV=0</t>
  </si>
  <si>
    <t>accept the project</t>
  </si>
  <si>
    <t>indifferent</t>
  </si>
  <si>
    <t>NPV&lt;0</t>
  </si>
  <si>
    <t>Reject the project</t>
  </si>
  <si>
    <t>rule OF NPV:</t>
  </si>
  <si>
    <t>cal npv</t>
  </si>
  <si>
    <t>start from first year</t>
  </si>
  <si>
    <t>and add the 0 year</t>
  </si>
  <si>
    <t>2) IRR-Internal Rate of return</t>
  </si>
  <si>
    <t>most important alternative to npv</t>
  </si>
  <si>
    <t>the discount rate that makes the npv=0</t>
  </si>
  <si>
    <t>rules:</t>
  </si>
  <si>
    <t>IRR&gt; rate of return(Co)</t>
  </si>
  <si>
    <t>accept</t>
  </si>
  <si>
    <t>IRR= Rate of return(Co)</t>
  </si>
  <si>
    <t>IRR&lt;Rate of return(Co)</t>
  </si>
  <si>
    <t>reject</t>
  </si>
  <si>
    <t>IRR:</t>
  </si>
  <si>
    <t>rate:</t>
  </si>
  <si>
    <t>also add the year 0</t>
  </si>
  <si>
    <t>ACCEPT</t>
  </si>
  <si>
    <t>3) payback rule</t>
  </si>
  <si>
    <t>very popular &amp; easy to use</t>
  </si>
  <si>
    <t>Rule:</t>
  </si>
  <si>
    <t>Payback&lt; total years req'd by MGT</t>
  </si>
  <si>
    <t>Payback=total years req'd by MGT</t>
  </si>
  <si>
    <t>Payback&gt; total years req'd by MGT</t>
  </si>
  <si>
    <t>Accept</t>
  </si>
  <si>
    <t>Management wants its money back within 2.5 years</t>
  </si>
  <si>
    <t>Open Bal</t>
  </si>
  <si>
    <t>Cash flow</t>
  </si>
  <si>
    <t>Ending Bal</t>
  </si>
  <si>
    <t>money to receive</t>
  </si>
  <si>
    <t>year 3 cf</t>
  </si>
  <si>
    <t>time to repay</t>
  </si>
  <si>
    <t>years</t>
  </si>
  <si>
    <t>we accept because its less than 2.5 years</t>
  </si>
  <si>
    <t>You are analzing a project and have prepared the following data</t>
  </si>
  <si>
    <t>year</t>
  </si>
  <si>
    <t>cash flow</t>
  </si>
  <si>
    <t xml:space="preserve">rate </t>
  </si>
  <si>
    <t>required payback my MGT</t>
  </si>
  <si>
    <t>3.5 years</t>
  </si>
  <si>
    <t>required:</t>
  </si>
  <si>
    <t>calculate the NPV, payback period, and IRR</t>
  </si>
  <si>
    <t>NPV</t>
  </si>
  <si>
    <t>IRR</t>
  </si>
  <si>
    <t>Payback back</t>
  </si>
  <si>
    <t>Open bal</t>
  </si>
  <si>
    <t>Close bal</t>
  </si>
  <si>
    <t>receive money</t>
  </si>
  <si>
    <t>because the payback is 3.4 year &lt; required 3.5 years</t>
  </si>
  <si>
    <t>year 4 cash flow</t>
  </si>
  <si>
    <t>4) Mutually exclusive projects</t>
  </si>
  <si>
    <t>Project A</t>
  </si>
  <si>
    <t>Project B</t>
  </si>
  <si>
    <t>amount</t>
  </si>
  <si>
    <t>Amounts</t>
  </si>
  <si>
    <t>base on NPV, which project would you accept?</t>
  </si>
  <si>
    <t>base on IRR which project would you accept?</t>
  </si>
  <si>
    <t>NPV rule it all</t>
  </si>
  <si>
    <t>if the rate was 13%, base on npv which project would you accept?</t>
  </si>
  <si>
    <t>rate</t>
  </si>
  <si>
    <t>calculate the npv at the following rates</t>
  </si>
  <si>
    <t>A-B</t>
  </si>
  <si>
    <t>Cross-over rate!</t>
  </si>
  <si>
    <t>rate at which npv's of both projects are the same!</t>
  </si>
  <si>
    <t>cross-over</t>
  </si>
  <si>
    <t>Rules:</t>
  </si>
  <si>
    <t>IF the rate is &lt; 12.18%</t>
  </si>
  <si>
    <t>if the rate is = 12.18%</t>
  </si>
  <si>
    <t>if the rate is &gt;12.18%</t>
  </si>
  <si>
    <t>accept project B</t>
  </si>
  <si>
    <t>Accept Project A</t>
  </si>
  <si>
    <t>example</t>
  </si>
  <si>
    <t>1) calculate the IRR for both projects. Which would you accept</t>
  </si>
  <si>
    <t>2) if the required rate of return is 7% calculate the npv for both projects. Which would you accpect</t>
  </si>
  <si>
    <t>accept project A</t>
  </si>
  <si>
    <t>3) Calculate the cross-over rate</t>
  </si>
  <si>
    <t>4) what is the npv at the cross over rate?</t>
  </si>
  <si>
    <t>project A</t>
  </si>
  <si>
    <t>Accept A if the required return is 8%</t>
  </si>
  <si>
    <t>Accept B if the required return is 9%</t>
  </si>
  <si>
    <t>5 and 6) if the required return is 8% and 9% which project would you accept?</t>
  </si>
  <si>
    <t>non-conventional cash flows</t>
  </si>
  <si>
    <t>find IRR</t>
  </si>
  <si>
    <t>the required return is 15%</t>
  </si>
  <si>
    <t>disavange for IRR can get two IRR can get you wrong decision</t>
  </si>
  <si>
    <t>irr</t>
  </si>
  <si>
    <t>non-conventional and mutually exclusive</t>
  </si>
  <si>
    <t>5) Discounted payback period</t>
  </si>
  <si>
    <t>yeas</t>
  </si>
  <si>
    <t>required rate of return:</t>
  </si>
  <si>
    <t>MGT requires their money back within 2.5 years</t>
  </si>
  <si>
    <t>PV</t>
  </si>
  <si>
    <t>Beg bal</t>
  </si>
  <si>
    <t>cf</t>
  </si>
  <si>
    <t>end</t>
  </si>
  <si>
    <t>payback</t>
  </si>
  <si>
    <t>require</t>
  </si>
  <si>
    <t>receive</t>
  </si>
  <si>
    <t>took 2.8 years</t>
  </si>
  <si>
    <t>6)</t>
  </si>
  <si>
    <t>RULES</t>
  </si>
  <si>
    <t xml:space="preserve">Diccount payback &lt; years to repay </t>
  </si>
  <si>
    <t>accpect</t>
  </si>
  <si>
    <t>Diccount payback = years to repay</t>
  </si>
  <si>
    <t>Discount payback &gt; years to repay(mgt)</t>
  </si>
  <si>
    <t xml:space="preserve"> reject</t>
  </si>
  <si>
    <t>6) Profitability Index</t>
  </si>
  <si>
    <t>p1=</t>
  </si>
  <si>
    <t>Pv of future cash flows</t>
  </si>
  <si>
    <t>initial  Outflow</t>
  </si>
  <si>
    <t>P1&gt;1</t>
  </si>
  <si>
    <t>p1 =1</t>
  </si>
  <si>
    <t>P1&lt; 1</t>
  </si>
  <si>
    <t>P1</t>
  </si>
  <si>
    <t>56357.14+56441.33+64828.94</t>
  </si>
  <si>
    <t>Accpect</t>
  </si>
  <si>
    <t>OR</t>
  </si>
  <si>
    <t>NPV of future cash flow only</t>
  </si>
  <si>
    <t>Initial outflow</t>
  </si>
  <si>
    <t>Floyd Clymer is the CFO of Bonavista Mustang, a manufacturer of parts for classic automobiles. Floyd is considering the purchase of a two-ton press which will allow the firm to stamp out auto fenders. The equipment costs $250,001. The project is expected to produce after-tax cash flows of $60,000 the first year, and increase by $10,000 annually; the after-tax cash flow in year 5 will reach $100,000. Liquidation of the equipment will net the firm $10,000 in cash at the end of five years, making the total cash flow in year five $110,000.</t>
  </si>
  <si>
    <t>Required:</t>
  </si>
  <si>
    <t>What is the payback period for the proposed investment?</t>
  </si>
  <si>
    <t>Assume the required return is 15%.  What is the project's discounted payback?</t>
  </si>
  <si>
    <t>Assume the required return is 15%.  What is the project's net present value?</t>
  </si>
  <si>
    <t>Assume the required return is 15%.  What is the project's profitability index?</t>
  </si>
  <si>
    <t>CF</t>
  </si>
  <si>
    <t>END Bal</t>
  </si>
  <si>
    <t>bel Bal</t>
  </si>
  <si>
    <t>required</t>
  </si>
  <si>
    <t>the payback period for the proposed is 3.4445 years</t>
  </si>
  <si>
    <t>2)</t>
  </si>
  <si>
    <t>pv</t>
  </si>
  <si>
    <t>the required return is</t>
  </si>
  <si>
    <t>End Bal</t>
  </si>
  <si>
    <t>MGT requires money back 3.5 years</t>
  </si>
  <si>
    <t>3)</t>
  </si>
  <si>
    <t>1)</t>
  </si>
  <si>
    <t>Find npv</t>
  </si>
  <si>
    <t>4)</t>
  </si>
  <si>
    <t>project profitability index</t>
  </si>
  <si>
    <t>Question #2</t>
  </si>
  <si>
    <t>You are considering 2 mutually exclusive projects with the following information:</t>
  </si>
  <si>
    <t>Project SMART</t>
  </si>
  <si>
    <t>Project FIT</t>
  </si>
  <si>
    <t>Calculate IRR for both projects.  Which would you accept?</t>
  </si>
  <si>
    <t>Calculate NPV For both projects assuming a rate of return of 12%.  Which project would you accept?</t>
  </si>
  <si>
    <t>Calculate the cross-over rate.</t>
  </si>
  <si>
    <t>Calculate the NPV at the cross-over rate.</t>
  </si>
  <si>
    <t>Complete the following table by calculating the NPV at the various rates:</t>
  </si>
  <si>
    <t>RATE</t>
  </si>
  <si>
    <t>If the required rate of return is 14%, which project would you accept?</t>
  </si>
  <si>
    <t>If the required rate of return is 12%, which project woud you accept?</t>
  </si>
  <si>
    <t>accpect Project Smart</t>
  </si>
  <si>
    <t>Rate of return of</t>
  </si>
  <si>
    <t>accpect project Fit</t>
  </si>
  <si>
    <t>Cross-over rate</t>
  </si>
  <si>
    <t>calculate the npv at the cross-over rate</t>
  </si>
  <si>
    <t>5)</t>
  </si>
  <si>
    <t>accpect project smart</t>
  </si>
  <si>
    <t>7)</t>
  </si>
  <si>
    <t>accpect project FIT</t>
  </si>
  <si>
    <t>HW</t>
  </si>
  <si>
    <t>Class1</t>
  </si>
  <si>
    <t>Claa 2</t>
  </si>
  <si>
    <t>Today</t>
  </si>
  <si>
    <t>15,17</t>
  </si>
  <si>
    <t>12,13</t>
  </si>
  <si>
    <t>1,2,7,8,9,10</t>
  </si>
  <si>
    <t>Weighted Average Cost Of CApital</t>
  </si>
  <si>
    <t>WACC=WeRe+WdRd(1-Tc)</t>
  </si>
  <si>
    <t>Chapter 14</t>
  </si>
  <si>
    <t>Balance sheet identity</t>
  </si>
  <si>
    <t>Assets</t>
  </si>
  <si>
    <t>=</t>
  </si>
  <si>
    <t>liabilities</t>
  </si>
  <si>
    <t>+</t>
  </si>
  <si>
    <t>equity</t>
  </si>
  <si>
    <t>short term debt</t>
  </si>
  <si>
    <t>long term debt</t>
  </si>
  <si>
    <t>Value of Firm</t>
  </si>
  <si>
    <t>Value of STD</t>
  </si>
  <si>
    <t>Value of LTD</t>
  </si>
  <si>
    <t>Value of Equity</t>
  </si>
  <si>
    <t>WACC</t>
  </si>
  <si>
    <t>To find the Weighted average Cost of capital we substitute the 1 for WACC</t>
  </si>
  <si>
    <t>WE also need to add the cost of capital for each STD,LTD and Equity</t>
  </si>
  <si>
    <t>Since the interest in Deductible, we must multiple it to the cost of capital to find net cost of capital for STD/LTD.</t>
  </si>
  <si>
    <t xml:space="preserve"> Multiply by (1-tax rate)</t>
  </si>
  <si>
    <t>100000*(1-30%)</t>
  </si>
  <si>
    <t>net interest cost</t>
  </si>
  <si>
    <t>Weight  of STD * Cost of STD X (1-TC Rate)</t>
  </si>
  <si>
    <t>+Weight  of lTD * Cost of lTD X (1-TC Rate)</t>
  </si>
  <si>
    <t>+Weught of Equity X cost of equity</t>
  </si>
  <si>
    <t>let's talk about costs</t>
  </si>
  <si>
    <t>cost of debt=</t>
  </si>
  <si>
    <t>bank loan 5%</t>
  </si>
  <si>
    <t>yield to maturity</t>
  </si>
  <si>
    <t>yield to maturity(bond)</t>
  </si>
  <si>
    <t>Cost of equity</t>
  </si>
  <si>
    <t>common shares</t>
  </si>
  <si>
    <t>P0=D1/(R-g)</t>
  </si>
  <si>
    <t>R= D1/P0+G</t>
  </si>
  <si>
    <t>Cost of capital for common shares</t>
  </si>
  <si>
    <t>Preferred Shares</t>
  </si>
  <si>
    <t>P0= D1/R</t>
  </si>
  <si>
    <t>R=D1/P0</t>
  </si>
  <si>
    <t>Cost of capital for preferred shares</t>
  </si>
  <si>
    <t>Example 1:</t>
  </si>
  <si>
    <t>STD</t>
  </si>
  <si>
    <t>LTD</t>
  </si>
  <si>
    <t>EQUITY</t>
  </si>
  <si>
    <t>Market value</t>
  </si>
  <si>
    <t>Cost</t>
  </si>
  <si>
    <t>value of firm</t>
  </si>
  <si>
    <t>Corporate tax rate 40%</t>
  </si>
  <si>
    <t>calculate the qeighted average cost of capital</t>
  </si>
  <si>
    <t>weight</t>
  </si>
  <si>
    <t>1 calc value of the firm</t>
  </si>
  <si>
    <t>2 calc weights</t>
  </si>
  <si>
    <t>3 calc wacc</t>
  </si>
  <si>
    <t>WACC=</t>
  </si>
  <si>
    <t>(0.10*0.10)*(1-.40)+(0.30*0.13)*(1-0.40)+(0.60*0.15)</t>
  </si>
  <si>
    <t>0.0060+0.0234+0.0900</t>
  </si>
  <si>
    <t>Example 2</t>
  </si>
  <si>
    <t>Common stock</t>
  </si>
  <si>
    <t>cost</t>
  </si>
  <si>
    <t>Corporate tax rate =30%</t>
  </si>
  <si>
    <t>Calculate the weight average cost capital</t>
  </si>
  <si>
    <t>(0.10*0.10)*(1-0.30)+(0.20*0.08)*(1-0.30)*(0.7*0.15)</t>
  </si>
  <si>
    <t>example 3</t>
  </si>
  <si>
    <t>Tom's company had in short term debt a total 1000000 from the bank at 9% a year</t>
  </si>
  <si>
    <t>moreover, he has 400000 outstanding shares and their cost of cost of capital is as follow</t>
  </si>
  <si>
    <t>PO</t>
  </si>
  <si>
    <t>D1</t>
  </si>
  <si>
    <t>G</t>
  </si>
  <si>
    <t>the corporate tax rate is 30%</t>
  </si>
  <si>
    <t>he also has issued in long-term debt bond at 11% for 10 years which the present yield to maturity is 7.50% for a total of 5000000</t>
  </si>
  <si>
    <t>Tom has the following project that will cost 500000 up front and will result in the following cash flow</t>
  </si>
  <si>
    <t>npv</t>
  </si>
  <si>
    <t>HW:1,5,6,7,9</t>
  </si>
  <si>
    <t>April 10, 2015</t>
  </si>
  <si>
    <t>WACC - Question #1</t>
  </si>
  <si>
    <t>JLP Industries has 6.5 million shares of common stock outstanding with a market price of $14 per share. The company also has outstanding preferred stock with a market value of $10 million, and 25,000 bonds outstanding, each with face value $1,000 and selling at 90% of par value. The cost of equity is 14%, the cost of preferred is 10%, and the cost of debt is 7.25%. If JLP's tax rate is 34%, what is the WACC? </t>
  </si>
  <si>
    <t>1. Calculate the Market Value of Common Stock</t>
  </si>
  <si>
    <t>2. Calculate the Market Value of Preferred Stock</t>
  </si>
  <si>
    <t>3. Calculate the Market Value of Debt</t>
  </si>
  <si>
    <t>4. Calculate the WACC</t>
  </si>
  <si>
    <t>1. calculate the market value of common stock</t>
  </si>
  <si>
    <t>14 per share</t>
  </si>
  <si>
    <t>6.5 million shre</t>
  </si>
  <si>
    <t>2. calculate the market value of preferred stock</t>
  </si>
  <si>
    <t>3. calculate the market value of debs</t>
  </si>
  <si>
    <t>fv</t>
  </si>
  <si>
    <t>par</t>
  </si>
  <si>
    <t>25000 outstanding</t>
  </si>
  <si>
    <t>4. calculate the WACC</t>
  </si>
  <si>
    <t>value</t>
  </si>
  <si>
    <t>tax effect</t>
  </si>
  <si>
    <t>cs</t>
  </si>
  <si>
    <t>ps</t>
  </si>
  <si>
    <t>bonds</t>
  </si>
  <si>
    <t>tax rate only on debt</t>
  </si>
  <si>
    <t>sum</t>
  </si>
  <si>
    <t>tax rate</t>
  </si>
  <si>
    <t>WACC - Question #2</t>
  </si>
  <si>
    <t xml:space="preserve">Given the following information for Jano Corp. find the WACC. Assume the company's tax rate is 35%. Bonds: 10,000 7% coupon bonds outstanding, $1,000 par value, 20 years to maturity, selling for 102 percent of par; the bonds make semi-annual payments. Common Shares: 400,000 shares outstanding, selling for $66.25 per share. You expect the next dividend to be $5.30 per share and the firm has a dividend growth rate of 4% that is expected to remain constant indefinitely.  Preferred shares: 25,000 shares of $5 preferred stock outstanding, currently selling for $65 per share. </t>
  </si>
  <si>
    <t>1. Calculate the Market Value Capital Structure of debt, common stock and preferred stock</t>
  </si>
  <si>
    <t>common stock</t>
  </si>
  <si>
    <t>preferred stock</t>
  </si>
  <si>
    <t>2. Calculate the Cost of Capital for debt, common stock and preferred stock</t>
  </si>
  <si>
    <t>common stocks</t>
  </si>
  <si>
    <t>R=d1/p0</t>
  </si>
  <si>
    <t>nper</t>
  </si>
  <si>
    <t>pmt</t>
  </si>
  <si>
    <t>?</t>
  </si>
  <si>
    <t>3. Calculate the Weighted Average Cost of Capital</t>
  </si>
  <si>
    <t>rate effect</t>
  </si>
  <si>
    <t>WACC - Question #3</t>
  </si>
  <si>
    <t>The following information is available for Groto Corp.:</t>
  </si>
  <si>
    <t>Bonds: 10,000 9% coupon bonds outstanding, $1,000 par value, 25 years to maturity, selling for 98% of par; the bonds made semi-annual payments.</t>
  </si>
  <si>
    <t>Common shares: 300,000 shares outstanding, selling for $40 per share that just paid a dividend of $4 and dividends are expected to grow 2.5% per year indefinitely.</t>
  </si>
  <si>
    <t>Preferred Shares: 55,000 shares of $6 preferred stock outstanding, currently selling for $100 per share.</t>
  </si>
  <si>
    <t>Assume the Company's tax rate is 30%</t>
  </si>
  <si>
    <t>cost of cs</t>
  </si>
  <si>
    <t>just paid Dividend= (D0*(1+G))/p0))+G</t>
  </si>
  <si>
    <t>cost of bond</t>
  </si>
  <si>
    <t>npe</t>
  </si>
  <si>
    <t>A Company has the following:</t>
  </si>
  <si>
    <t>1000000 bank loan at a bank rate of 9%</t>
  </si>
  <si>
    <t>11% semi-annual bonds,10 years remaining, YTM of 7.5%, total value 5000000</t>
  </si>
  <si>
    <t>500000 long-term loan at 7%</t>
  </si>
  <si>
    <t>400000 outstanding common share price $25,next dividend is 2.50 and are expected to grow 5% indefinitely</t>
  </si>
  <si>
    <t>prefer share with a price of 30 total 3000000 paying 4% in dividends forever</t>
  </si>
  <si>
    <t>2500000 worth of simi annual bonds with a par value of 2000 coupon rate 10%. Today price is 1975.50 with 6 years to maturity</t>
  </si>
  <si>
    <t>Tax rate is 30%</t>
  </si>
  <si>
    <t>the company has the following mutually exclusive project options, both require 100 upfron investment:</t>
  </si>
  <si>
    <t>lima</t>
  </si>
  <si>
    <t>tango</t>
  </si>
  <si>
    <t>calculate the WACC</t>
  </si>
  <si>
    <t>STD-loan</t>
  </si>
  <si>
    <t>LTD-bond</t>
  </si>
  <si>
    <t>LTD-loab</t>
  </si>
  <si>
    <t>r=d1/p0+G</t>
  </si>
  <si>
    <t>weight cost</t>
  </si>
  <si>
    <t>Calculate npv and IRR for both projects</t>
  </si>
  <si>
    <t>rate required to return</t>
  </si>
  <si>
    <t>Cross over rate</t>
  </si>
  <si>
    <t>a-b</t>
  </si>
  <si>
    <t>Lima</t>
  </si>
  <si>
    <t>Tango</t>
  </si>
  <si>
    <t>Find the payback rule for project Lima. mGT wants 2 years and 3 months</t>
  </si>
  <si>
    <t>beg</t>
  </si>
  <si>
    <t>indiffernet</t>
  </si>
  <si>
    <t>need</t>
  </si>
  <si>
    <t>Find the Discounted payback rule for project tango. Mgt wants 3 years and 85 days</t>
  </si>
  <si>
    <t>wacc</t>
  </si>
  <si>
    <t>year required return 3.23</t>
  </si>
  <si>
    <t>Find the profitability index pro project tango</t>
  </si>
  <si>
    <t>pi=</t>
  </si>
  <si>
    <t>sum of discounted future cash flows</t>
  </si>
  <si>
    <t>initial investment</t>
  </si>
  <si>
    <t>question 3</t>
  </si>
  <si>
    <t>1 calculate the market value</t>
  </si>
  <si>
    <t>rate?</t>
  </si>
  <si>
    <t>d1/p0+g</t>
  </si>
  <si>
    <t>d1/p0</t>
  </si>
  <si>
    <t>tax</t>
  </si>
  <si>
    <t>Find the payback rule for lima</t>
  </si>
  <si>
    <t>1 year and 4 months</t>
  </si>
  <si>
    <t>find the discount payback for tango</t>
  </si>
  <si>
    <t>bel</t>
  </si>
  <si>
    <t>accpecy</t>
  </si>
  <si>
    <t>find the profitability infec pro project tango</t>
  </si>
  <si>
    <t>CS</t>
  </si>
  <si>
    <t>PS</t>
  </si>
  <si>
    <t>R=d1/p0+G</t>
  </si>
  <si>
    <t>n</t>
  </si>
  <si>
    <t>TC</t>
  </si>
  <si>
    <t>cross over rate</t>
  </si>
  <si>
    <t>find the payback rule for project lima mgt wants 2 years and 3 months</t>
  </si>
  <si>
    <t>probility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</si>
</sst>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#,##0.00;[Red]\-&quot;$&quot;#,##0.00"/>
    <numFmt numFmtId="43" formatCode="_-* #,##0.00_-;\-* #,##0.00_-;_-* &quot;-&quot;??_-;_-@_-"/>
    <numFmt numFmtId="164" formatCode="&quot;$&quot;#,##0.0000;[Red]\-&quot;$&quot;#,##0.0000"/>
    <numFmt numFmtId="165" formatCode="0.000%"/>
    <numFmt numFmtId="166" formatCode="0.0000%"/>
    <numFmt numFmtId="167" formatCode="0.0%"/>
    <numFmt numFmtId="168" formatCode="0.00000%"/>
    <numFmt numFmtId="169" formatCode="0.0000000000000%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mbria"/>
    </font>
    <font>
      <b/>
      <u/>
      <sz val="12"/>
      <color theme="1"/>
      <name val="Calibri"/>
      <scheme val="minor"/>
    </font>
    <font>
      <b/>
      <sz val="16"/>
      <color theme="1"/>
      <name val="Calibri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Times New Roman"/>
    </font>
    <font>
      <b/>
      <sz val="12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4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5">
    <xf numFmtId="0" fontId="0" fillId="0" borderId="0" xfId="0"/>
    <xf numFmtId="9" fontId="0" fillId="0" borderId="0" xfId="0" applyNumberFormat="1"/>
    <xf numFmtId="0" fontId="5" fillId="0" borderId="0" xfId="0" applyFont="1"/>
    <xf numFmtId="0" fontId="5" fillId="0" borderId="1" xfId="0" applyFont="1" applyBorder="1"/>
    <xf numFmtId="0" fontId="0" fillId="0" borderId="2" xfId="0" applyBorder="1"/>
    <xf numFmtId="0" fontId="5" fillId="0" borderId="3" xfId="0" applyFont="1" applyBorder="1"/>
    <xf numFmtId="0" fontId="5" fillId="0" borderId="4" xfId="0" applyFont="1" applyBorder="1"/>
    <xf numFmtId="0" fontId="0" fillId="0" borderId="5" xfId="0" applyBorder="1"/>
    <xf numFmtId="0" fontId="5" fillId="0" borderId="0" xfId="0" applyFont="1" applyBorder="1"/>
    <xf numFmtId="0" fontId="5" fillId="0" borderId="6" xfId="0" applyFont="1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8" fontId="0" fillId="0" borderId="0" xfId="0" applyNumberFormat="1"/>
    <xf numFmtId="0" fontId="5" fillId="0" borderId="2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10" fontId="0" fillId="0" borderId="0" xfId="0" applyNumberFormat="1"/>
    <xf numFmtId="10" fontId="5" fillId="0" borderId="0" xfId="0" applyNumberFormat="1" applyFont="1"/>
    <xf numFmtId="0" fontId="0" fillId="0" borderId="0" xfId="0" applyFont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8" fillId="0" borderId="0" xfId="0" applyFont="1"/>
    <xf numFmtId="0" fontId="0" fillId="2" borderId="0" xfId="0" applyFill="1"/>
    <xf numFmtId="0" fontId="4" fillId="0" borderId="0" xfId="0" applyFont="1"/>
    <xf numFmtId="0" fontId="0" fillId="0" borderId="0" xfId="0" applyBorder="1"/>
    <xf numFmtId="0" fontId="0" fillId="0" borderId="6" xfId="0" applyBorder="1"/>
    <xf numFmtId="10" fontId="0" fillId="2" borderId="0" xfId="0" applyNumberFormat="1" applyFill="1"/>
    <xf numFmtId="8" fontId="0" fillId="2" borderId="0" xfId="0" applyNumberFormat="1" applyFill="1"/>
    <xf numFmtId="0" fontId="5" fillId="0" borderId="0" xfId="0" applyFont="1" applyFill="1" applyBorder="1"/>
    <xf numFmtId="0" fontId="0" fillId="0" borderId="4" xfId="0" applyBorder="1"/>
    <xf numFmtId="9" fontId="0" fillId="2" borderId="0" xfId="0" applyNumberFormat="1" applyFill="1"/>
    <xf numFmtId="164" fontId="0" fillId="0" borderId="0" xfId="0" applyNumberFormat="1"/>
    <xf numFmtId="164" fontId="0" fillId="2" borderId="0" xfId="0" applyNumberFormat="1" applyFill="1"/>
    <xf numFmtId="0" fontId="0" fillId="0" borderId="11" xfId="0" applyBorder="1"/>
    <xf numFmtId="0" fontId="5" fillId="0" borderId="13" xfId="0" applyFont="1" applyBorder="1"/>
    <xf numFmtId="8" fontId="0" fillId="0" borderId="14" xfId="0" applyNumberFormat="1" applyBorder="1"/>
    <xf numFmtId="8" fontId="8" fillId="0" borderId="14" xfId="0" applyNumberFormat="1" applyFont="1" applyBorder="1"/>
    <xf numFmtId="8" fontId="0" fillId="0" borderId="6" xfId="0" applyNumberFormat="1" applyBorder="1"/>
    <xf numFmtId="8" fontId="0" fillId="0" borderId="0" xfId="0" applyNumberFormat="1" applyBorder="1"/>
    <xf numFmtId="8" fontId="0" fillId="0" borderId="15" xfId="0" applyNumberFormat="1" applyBorder="1"/>
    <xf numFmtId="8" fontId="0" fillId="0" borderId="1" xfId="0" applyNumberFormat="1" applyBorder="1"/>
    <xf numFmtId="8" fontId="8" fillId="0" borderId="15" xfId="0" applyNumberFormat="1" applyFont="1" applyBorder="1"/>
    <xf numFmtId="8" fontId="0" fillId="0" borderId="8" xfId="0" applyNumberFormat="1" applyBorder="1"/>
    <xf numFmtId="0" fontId="5" fillId="0" borderId="12" xfId="0" applyFont="1" applyBorder="1"/>
    <xf numFmtId="0" fontId="5" fillId="0" borderId="10" xfId="0" applyFont="1" applyFill="1" applyBorder="1"/>
    <xf numFmtId="0" fontId="5" fillId="0" borderId="11" xfId="0" applyFont="1" applyFill="1" applyBorder="1"/>
    <xf numFmtId="0" fontId="0" fillId="0" borderId="3" xfId="0" applyBorder="1"/>
    <xf numFmtId="0" fontId="5" fillId="0" borderId="14" xfId="0" applyFont="1" applyBorder="1"/>
    <xf numFmtId="0" fontId="5" fillId="0" borderId="15" xfId="0" applyFont="1" applyBorder="1"/>
    <xf numFmtId="9" fontId="0" fillId="0" borderId="8" xfId="0" applyNumberFormat="1" applyBorder="1"/>
    <xf numFmtId="0" fontId="9" fillId="0" borderId="10" xfId="0" applyFont="1" applyBorder="1"/>
    <xf numFmtId="8" fontId="0" fillId="0" borderId="4" xfId="0" applyNumberFormat="1" applyBorder="1"/>
    <xf numFmtId="0" fontId="11" fillId="0" borderId="0" xfId="0" applyFont="1"/>
    <xf numFmtId="0" fontId="10" fillId="0" borderId="0" xfId="0" applyFont="1" applyAlignment="1">
      <alignment vertical="top"/>
    </xf>
    <xf numFmtId="0" fontId="0" fillId="0" borderId="13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1" xfId="0" applyNumberFormat="1" applyBorder="1"/>
    <xf numFmtId="0" fontId="12" fillId="0" borderId="0" xfId="0" applyFont="1"/>
    <xf numFmtId="0" fontId="5" fillId="0" borderId="1" xfId="0" applyFont="1" applyBorder="1" applyAlignment="1">
      <alignment horizontal="center"/>
    </xf>
    <xf numFmtId="43" fontId="0" fillId="0" borderId="0" xfId="79" applyFont="1"/>
    <xf numFmtId="0" fontId="5" fillId="0" borderId="12" xfId="0" applyFon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43" fontId="0" fillId="0" borderId="0" xfId="0" applyNumberFormat="1"/>
    <xf numFmtId="8" fontId="0" fillId="0" borderId="12" xfId="0" applyNumberFormat="1" applyBorder="1"/>
    <xf numFmtId="43" fontId="0" fillId="0" borderId="12" xfId="0" applyNumberFormat="1" applyBorder="1"/>
    <xf numFmtId="165" fontId="0" fillId="2" borderId="0" xfId="0" applyNumberFormat="1" applyFill="1"/>
    <xf numFmtId="166" fontId="0" fillId="3" borderId="5" xfId="0" applyNumberFormat="1" applyFill="1" applyBorder="1"/>
    <xf numFmtId="0" fontId="10" fillId="0" borderId="0" xfId="0" applyFont="1" applyAlignment="1">
      <alignment horizontal="left" vertical="top" wrapText="1"/>
    </xf>
    <xf numFmtId="0" fontId="13" fillId="0" borderId="0" xfId="0" applyFont="1"/>
    <xf numFmtId="0" fontId="0" fillId="0" borderId="0" xfId="0" quotePrefix="1"/>
    <xf numFmtId="0" fontId="5" fillId="0" borderId="0" xfId="0" quotePrefix="1" applyFont="1"/>
    <xf numFmtId="9" fontId="0" fillId="0" borderId="0" xfId="132" applyFont="1"/>
    <xf numFmtId="9" fontId="0" fillId="0" borderId="6" xfId="0" applyNumberFormat="1" applyBorder="1"/>
    <xf numFmtId="0" fontId="0" fillId="0" borderId="10" xfId="0" applyBorder="1"/>
    <xf numFmtId="10" fontId="0" fillId="0" borderId="0" xfId="132" applyNumberFormat="1" applyFont="1"/>
    <xf numFmtId="167" fontId="0" fillId="0" borderId="0" xfId="0" applyNumberFormat="1"/>
    <xf numFmtId="15" fontId="5" fillId="0" borderId="0" xfId="0" quotePrefix="1" applyNumberFormat="1" applyFont="1"/>
    <xf numFmtId="9" fontId="0" fillId="0" borderId="0" xfId="0" applyNumberFormat="1" applyBorder="1"/>
    <xf numFmtId="10" fontId="0" fillId="0" borderId="0" xfId="0" applyNumberFormat="1" applyBorder="1"/>
    <xf numFmtId="9" fontId="0" fillId="0" borderId="0" xfId="138" applyFont="1"/>
    <xf numFmtId="9" fontId="0" fillId="0" borderId="8" xfId="138" applyFont="1" applyBorder="1"/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vertical="top" wrapText="1"/>
    </xf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9" fontId="1" fillId="0" borderId="0" xfId="138" applyFont="1" applyBorder="1"/>
    <xf numFmtId="166" fontId="0" fillId="0" borderId="0" xfId="0" applyNumberFormat="1" applyBorder="1"/>
    <xf numFmtId="166" fontId="0" fillId="0" borderId="0" xfId="0" applyNumberFormat="1" applyFont="1" applyBorder="1"/>
    <xf numFmtId="0" fontId="0" fillId="0" borderId="6" xfId="0" applyFont="1" applyBorder="1"/>
    <xf numFmtId="9" fontId="0" fillId="0" borderId="0" xfId="0" applyNumberFormat="1" applyFont="1" applyBorder="1"/>
    <xf numFmtId="0" fontId="0" fillId="0" borderId="1" xfId="0" applyFont="1" applyBorder="1"/>
    <xf numFmtId="10" fontId="4" fillId="0" borderId="8" xfId="138" applyNumberFormat="1" applyFont="1" applyBorder="1"/>
    <xf numFmtId="9" fontId="0" fillId="0" borderId="0" xfId="132" applyFont="1" applyBorder="1"/>
    <xf numFmtId="0" fontId="15" fillId="0" borderId="2" xfId="0" applyFon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left" indent="4"/>
    </xf>
    <xf numFmtId="0" fontId="8" fillId="0" borderId="5" xfId="0" applyFont="1" applyBorder="1"/>
    <xf numFmtId="10" fontId="0" fillId="0" borderId="0" xfId="132" applyNumberFormat="1" applyFont="1" applyBorder="1"/>
    <xf numFmtId="0" fontId="0" fillId="0" borderId="2" xfId="0" applyBorder="1" applyAlignment="1">
      <alignment horizontal="left" indent="2"/>
    </xf>
    <xf numFmtId="8" fontId="4" fillId="0" borderId="0" xfId="0" applyNumberFormat="1" applyFont="1"/>
    <xf numFmtId="9" fontId="4" fillId="0" borderId="0" xfId="0" applyNumberFormat="1" applyFont="1"/>
    <xf numFmtId="168" fontId="4" fillId="0" borderId="8" xfId="132" applyNumberFormat="1" applyFont="1" applyBorder="1"/>
    <xf numFmtId="0" fontId="0" fillId="0" borderId="6" xfId="0" applyFill="1" applyBorder="1"/>
    <xf numFmtId="0" fontId="0" fillId="0" borderId="8" xfId="0" applyFill="1" applyBorder="1"/>
    <xf numFmtId="10" fontId="4" fillId="0" borderId="0" xfId="0" applyNumberFormat="1" applyFont="1"/>
    <xf numFmtId="2" fontId="0" fillId="0" borderId="0" xfId="132" applyNumberFormat="1" applyFont="1"/>
    <xf numFmtId="2" fontId="0" fillId="0" borderId="0" xfId="0" applyNumberFormat="1"/>
    <xf numFmtId="0" fontId="10" fillId="0" borderId="0" xfId="0" applyFont="1" applyAlignment="1">
      <alignment horizontal="left" vertical="top" wrapText="1"/>
    </xf>
    <xf numFmtId="169" fontId="0" fillId="0" borderId="0" xfId="0" applyNumberFormat="1"/>
    <xf numFmtId="2" fontId="0" fillId="0" borderId="0" xfId="0" applyNumberFormat="1" applyBorder="1"/>
    <xf numFmtId="2" fontId="0" fillId="0" borderId="6" xfId="0" applyNumberFormat="1" applyBorder="1"/>
    <xf numFmtId="2" fontId="0" fillId="0" borderId="1" xfId="0" applyNumberFormat="1" applyBorder="1"/>
    <xf numFmtId="2" fontId="0" fillId="0" borderId="8" xfId="0" applyNumberFormat="1" applyBorder="1"/>
    <xf numFmtId="0" fontId="0" fillId="0" borderId="16" xfId="0" applyBorder="1"/>
    <xf numFmtId="0" fontId="10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10" fontId="4" fillId="0" borderId="0" xfId="132" applyNumberFormat="1" applyFont="1"/>
  </cellXfs>
  <cellStyles count="247">
    <cellStyle name="Comma" xfId="79" builtinId="3"/>
    <cellStyle name="Comma 2" xfId="137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4" builtinId="9" hidden="1"/>
    <cellStyle name="Followed Hyperlink" xfId="136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3" builtinId="8" hidden="1"/>
    <cellStyle name="Hyperlink" xfId="135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Normal" xfId="0" builtinId="0"/>
    <cellStyle name="Percent" xfId="132" builtinId="5"/>
    <cellStyle name="Percent 2" xfId="138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5"/>
  </sheetPr>
  <dimension ref="A1:J164"/>
  <sheetViews>
    <sheetView topLeftCell="A140" workbookViewId="0">
      <selection activeCell="F164" sqref="F164"/>
    </sheetView>
  </sheetViews>
  <sheetFormatPr baseColWidth="10" defaultRowHeight="15" x14ac:dyDescent="0"/>
  <cols>
    <col min="1" max="1" width="20.1640625" customWidth="1"/>
    <col min="2" max="2" width="23.83203125" customWidth="1"/>
    <col min="3" max="3" width="12" bestFit="1" customWidth="1"/>
    <col min="4" max="4" width="14.5" customWidth="1"/>
    <col min="5" max="5" width="12" bestFit="1" customWidth="1"/>
    <col min="6" max="6" width="27.5" customWidth="1"/>
    <col min="7" max="7" width="12" bestFit="1" customWidth="1"/>
    <col min="8" max="8" width="11.33203125" bestFit="1" customWidth="1"/>
    <col min="10" max="10" width="11" bestFit="1" customWidth="1"/>
  </cols>
  <sheetData>
    <row r="1" spans="1:4">
      <c r="A1">
        <v>1</v>
      </c>
      <c r="B1" t="s">
        <v>0</v>
      </c>
    </row>
    <row r="2" spans="1:4">
      <c r="A2">
        <v>2</v>
      </c>
      <c r="B2" t="s">
        <v>1</v>
      </c>
    </row>
    <row r="3" spans="1:4">
      <c r="A3">
        <v>3</v>
      </c>
      <c r="B3" t="s">
        <v>2</v>
      </c>
    </row>
    <row r="4" spans="1:4">
      <c r="A4">
        <v>4</v>
      </c>
      <c r="B4" t="s">
        <v>3</v>
      </c>
    </row>
    <row r="5" spans="1:4">
      <c r="A5">
        <v>5</v>
      </c>
      <c r="B5" t="s">
        <v>4</v>
      </c>
    </row>
    <row r="6" spans="1:4">
      <c r="A6">
        <v>6</v>
      </c>
      <c r="B6" t="s">
        <v>5</v>
      </c>
    </row>
    <row r="10" spans="1:4">
      <c r="A10" s="2" t="s">
        <v>6</v>
      </c>
      <c r="B10" s="2"/>
      <c r="C10" s="2"/>
    </row>
    <row r="12" spans="1:4">
      <c r="A12" s="4" t="s">
        <v>16</v>
      </c>
      <c r="B12" s="5" t="s">
        <v>10</v>
      </c>
      <c r="C12" s="5" t="s">
        <v>12</v>
      </c>
      <c r="D12" s="6"/>
    </row>
    <row r="13" spans="1:4">
      <c r="A13" s="7"/>
      <c r="B13" s="8" t="s">
        <v>11</v>
      </c>
      <c r="C13" s="8" t="s">
        <v>13</v>
      </c>
      <c r="D13" s="9"/>
    </row>
    <row r="14" spans="1:4">
      <c r="A14" s="7"/>
      <c r="B14" s="8" t="s">
        <v>14</v>
      </c>
      <c r="C14" s="8" t="s">
        <v>15</v>
      </c>
      <c r="D14" s="9"/>
    </row>
    <row r="15" spans="1:4">
      <c r="A15" s="10"/>
      <c r="B15" s="11"/>
      <c r="C15" s="11"/>
      <c r="D15" s="12"/>
    </row>
    <row r="17" spans="1:5">
      <c r="A17" t="s">
        <v>7</v>
      </c>
      <c r="B17" s="1">
        <v>0.12</v>
      </c>
    </row>
    <row r="19" spans="1:5">
      <c r="A19" s="3" t="s">
        <v>8</v>
      </c>
      <c r="B19" s="3" t="s">
        <v>9</v>
      </c>
    </row>
    <row r="20" spans="1:5">
      <c r="A20">
        <v>0</v>
      </c>
      <c r="B20">
        <v>-165000</v>
      </c>
    </row>
    <row r="21" spans="1:5">
      <c r="A21">
        <v>1</v>
      </c>
      <c r="B21">
        <v>63120</v>
      </c>
    </row>
    <row r="22" spans="1:5">
      <c r="A22">
        <v>2</v>
      </c>
      <c r="B22">
        <v>70800</v>
      </c>
    </row>
    <row r="23" spans="1:5">
      <c r="A23">
        <v>3</v>
      </c>
      <c r="B23">
        <v>91080</v>
      </c>
    </row>
    <row r="25" spans="1:5">
      <c r="A25" t="s">
        <v>17</v>
      </c>
      <c r="B25" s="13">
        <f>NPV(B17,B21,B22,B23)</f>
        <v>177627.41435860054</v>
      </c>
      <c r="C25" t="s">
        <v>18</v>
      </c>
      <c r="E25" t="s">
        <v>19</v>
      </c>
    </row>
    <row r="26" spans="1:5">
      <c r="B26" s="13">
        <f>B25+B20</f>
        <v>12627.414358600538</v>
      </c>
    </row>
    <row r="28" spans="1:5">
      <c r="A28" s="2" t="s">
        <v>20</v>
      </c>
      <c r="B28" s="2"/>
      <c r="C28" s="2"/>
      <c r="D28" s="2"/>
    </row>
    <row r="29" spans="1:5">
      <c r="A29" s="2"/>
      <c r="B29" s="2" t="s">
        <v>21</v>
      </c>
      <c r="C29" s="2"/>
      <c r="D29" s="2"/>
    </row>
    <row r="30" spans="1:5">
      <c r="A30" s="2"/>
      <c r="B30" s="2" t="s">
        <v>22</v>
      </c>
      <c r="C30" s="2"/>
      <c r="D30" s="2"/>
    </row>
    <row r="32" spans="1:5">
      <c r="A32" s="14" t="s">
        <v>23</v>
      </c>
      <c r="B32" s="5" t="s">
        <v>24</v>
      </c>
      <c r="C32" s="5"/>
      <c r="D32" s="6" t="s">
        <v>25</v>
      </c>
    </row>
    <row r="33" spans="1:4">
      <c r="A33" s="15"/>
      <c r="B33" s="8" t="s">
        <v>26</v>
      </c>
      <c r="C33" s="8"/>
      <c r="D33" s="9" t="s">
        <v>13</v>
      </c>
    </row>
    <row r="34" spans="1:4">
      <c r="A34" s="16"/>
      <c r="B34" s="3" t="s">
        <v>27</v>
      </c>
      <c r="C34" s="3"/>
      <c r="D34" s="17" t="s">
        <v>28</v>
      </c>
    </row>
    <row r="36" spans="1:4">
      <c r="A36" t="s">
        <v>30</v>
      </c>
      <c r="B36" s="1">
        <v>0.12</v>
      </c>
    </row>
    <row r="38" spans="1:4">
      <c r="A38" s="3" t="s">
        <v>8</v>
      </c>
      <c r="B38" s="3" t="s">
        <v>9</v>
      </c>
    </row>
    <row r="39" spans="1:4">
      <c r="A39">
        <v>0</v>
      </c>
      <c r="B39">
        <v>-165000</v>
      </c>
    </row>
    <row r="40" spans="1:4">
      <c r="A40">
        <v>1</v>
      </c>
      <c r="B40">
        <v>63120</v>
      </c>
    </row>
    <row r="41" spans="1:4">
      <c r="A41">
        <v>2</v>
      </c>
      <c r="B41">
        <v>70800</v>
      </c>
    </row>
    <row r="42" spans="1:4">
      <c r="A42">
        <v>3</v>
      </c>
      <c r="B42">
        <v>91080</v>
      </c>
    </row>
    <row r="44" spans="1:4">
      <c r="A44" t="s">
        <v>29</v>
      </c>
      <c r="B44" s="19">
        <f>IRR(B39:B42)</f>
        <v>0.16132240070826898</v>
      </c>
      <c r="C44" t="s">
        <v>32</v>
      </c>
    </row>
    <row r="45" spans="1:4">
      <c r="A45" t="s">
        <v>31</v>
      </c>
    </row>
    <row r="47" spans="1:4">
      <c r="A47" s="2" t="s">
        <v>33</v>
      </c>
      <c r="B47" s="2"/>
    </row>
    <row r="48" spans="1:4">
      <c r="B48" s="2" t="s">
        <v>34</v>
      </c>
      <c r="C48" s="2"/>
    </row>
    <row r="50" spans="1:5">
      <c r="A50" s="14" t="s">
        <v>35</v>
      </c>
      <c r="B50" s="5" t="s">
        <v>36</v>
      </c>
      <c r="C50" s="5"/>
      <c r="D50" s="5"/>
      <c r="E50" s="6" t="s">
        <v>39</v>
      </c>
    </row>
    <row r="51" spans="1:5">
      <c r="A51" s="15"/>
      <c r="B51" s="8" t="s">
        <v>37</v>
      </c>
      <c r="C51" s="8"/>
      <c r="D51" s="8"/>
      <c r="E51" s="9" t="s">
        <v>13</v>
      </c>
    </row>
    <row r="52" spans="1:5">
      <c r="A52" s="16"/>
      <c r="B52" s="3" t="s">
        <v>38</v>
      </c>
      <c r="C52" s="3"/>
      <c r="D52" s="3"/>
      <c r="E52" s="17" t="s">
        <v>28</v>
      </c>
    </row>
    <row r="54" spans="1:5">
      <c r="A54" t="s">
        <v>30</v>
      </c>
      <c r="B54" s="1">
        <v>0.12</v>
      </c>
    </row>
    <row r="56" spans="1:5">
      <c r="A56" s="3" t="s">
        <v>8</v>
      </c>
      <c r="B56" s="3" t="s">
        <v>9</v>
      </c>
    </row>
    <row r="57" spans="1:5">
      <c r="A57">
        <v>0</v>
      </c>
      <c r="B57">
        <v>-165000</v>
      </c>
    </row>
    <row r="58" spans="1:5">
      <c r="A58">
        <v>1</v>
      </c>
      <c r="B58">
        <v>63120</v>
      </c>
    </row>
    <row r="59" spans="1:5">
      <c r="A59">
        <v>2</v>
      </c>
      <c r="B59">
        <v>70800</v>
      </c>
    </row>
    <row r="60" spans="1:5">
      <c r="A60">
        <v>3</v>
      </c>
      <c r="B60">
        <v>91080</v>
      </c>
    </row>
    <row r="62" spans="1:5">
      <c r="A62" t="s">
        <v>40</v>
      </c>
      <c r="D62" s="25"/>
    </row>
    <row r="64" spans="1:5">
      <c r="A64" s="21" t="s">
        <v>8</v>
      </c>
      <c r="B64" s="22" t="s">
        <v>41</v>
      </c>
      <c r="C64" s="22" t="s">
        <v>42</v>
      </c>
      <c r="D64" s="23" t="s">
        <v>43</v>
      </c>
      <c r="E64" s="20"/>
    </row>
    <row r="65" spans="1:9">
      <c r="A65">
        <v>0</v>
      </c>
      <c r="C65">
        <v>-165000</v>
      </c>
      <c r="D65">
        <v>-165000</v>
      </c>
    </row>
    <row r="66" spans="1:9">
      <c r="A66">
        <v>1</v>
      </c>
      <c r="B66">
        <v>-165000</v>
      </c>
      <c r="C66">
        <v>63120</v>
      </c>
      <c r="D66">
        <f>B66+C66</f>
        <v>-101880</v>
      </c>
      <c r="F66">
        <v>1</v>
      </c>
    </row>
    <row r="67" spans="1:9">
      <c r="A67">
        <v>2</v>
      </c>
      <c r="B67" s="24">
        <v>-101880</v>
      </c>
      <c r="C67">
        <v>70800</v>
      </c>
      <c r="D67" s="25">
        <f>B67+C67</f>
        <v>-31080</v>
      </c>
      <c r="F67">
        <v>1</v>
      </c>
    </row>
    <row r="68" spans="1:9">
      <c r="A68">
        <v>3</v>
      </c>
      <c r="B68" s="24">
        <v>-31080</v>
      </c>
      <c r="C68" s="25">
        <v>91080</v>
      </c>
      <c r="D68">
        <f>C68+B68</f>
        <v>60000</v>
      </c>
      <c r="F68">
        <f>I68/I69</f>
        <v>0.34123847167325427</v>
      </c>
      <c r="G68" t="s">
        <v>44</v>
      </c>
      <c r="I68" s="25">
        <v>31080</v>
      </c>
    </row>
    <row r="69" spans="1:9">
      <c r="F69">
        <f>SUM(F66:F68)</f>
        <v>2.3412384716732544</v>
      </c>
      <c r="H69" t="s">
        <v>45</v>
      </c>
      <c r="I69" s="25">
        <v>91080</v>
      </c>
    </row>
    <row r="70" spans="1:9">
      <c r="A70" t="s">
        <v>48</v>
      </c>
      <c r="F70" t="s">
        <v>47</v>
      </c>
      <c r="G70" t="s">
        <v>46</v>
      </c>
      <c r="I70">
        <f>I68/I69</f>
        <v>0.34123847167325427</v>
      </c>
    </row>
    <row r="73" spans="1:9">
      <c r="A73" s="2" t="s">
        <v>65</v>
      </c>
      <c r="B73" s="2"/>
      <c r="G73" s="2" t="s">
        <v>77</v>
      </c>
    </row>
    <row r="74" spans="1:9">
      <c r="A74" s="14"/>
      <c r="B74" s="5" t="s">
        <v>66</v>
      </c>
      <c r="C74" s="5"/>
      <c r="D74" s="5"/>
      <c r="E74" s="6" t="s">
        <v>67</v>
      </c>
      <c r="G74" t="s">
        <v>76</v>
      </c>
    </row>
    <row r="75" spans="1:9">
      <c r="A75" s="16" t="s">
        <v>47</v>
      </c>
      <c r="B75" s="3" t="s">
        <v>68</v>
      </c>
      <c r="C75" s="3"/>
      <c r="D75" s="3" t="s">
        <v>47</v>
      </c>
      <c r="E75" s="17" t="s">
        <v>69</v>
      </c>
      <c r="G75" s="31" t="s">
        <v>68</v>
      </c>
    </row>
    <row r="76" spans="1:9">
      <c r="A76" s="7">
        <v>0</v>
      </c>
      <c r="B76" s="27">
        <v>-17000</v>
      </c>
      <c r="C76" s="27"/>
      <c r="D76" s="27">
        <v>0</v>
      </c>
      <c r="E76" s="28">
        <v>-17000</v>
      </c>
      <c r="G76">
        <f>B76-E76</f>
        <v>0</v>
      </c>
    </row>
    <row r="77" spans="1:9">
      <c r="A77" s="7">
        <v>1</v>
      </c>
      <c r="B77" s="27">
        <v>8000</v>
      </c>
      <c r="C77" s="27"/>
      <c r="D77" s="27">
        <v>1</v>
      </c>
      <c r="E77" s="28">
        <v>2000</v>
      </c>
      <c r="G77">
        <f t="shared" ref="G77:G80" si="0">B77-E77</f>
        <v>6000</v>
      </c>
    </row>
    <row r="78" spans="1:9">
      <c r="A78" s="7">
        <v>2</v>
      </c>
      <c r="B78" s="27">
        <v>7000</v>
      </c>
      <c r="C78" s="27"/>
      <c r="D78" s="27">
        <v>2</v>
      </c>
      <c r="E78" s="28">
        <v>5000</v>
      </c>
      <c r="G78">
        <f t="shared" si="0"/>
        <v>2000</v>
      </c>
    </row>
    <row r="79" spans="1:9">
      <c r="A79" s="7">
        <v>3</v>
      </c>
      <c r="B79" s="27">
        <v>5000</v>
      </c>
      <c r="C79" s="27"/>
      <c r="D79" s="27">
        <v>3</v>
      </c>
      <c r="E79" s="28">
        <v>9000</v>
      </c>
      <c r="G79">
        <f t="shared" si="0"/>
        <v>-4000</v>
      </c>
    </row>
    <row r="80" spans="1:9">
      <c r="A80" s="10">
        <v>4</v>
      </c>
      <c r="B80" s="11">
        <v>3000</v>
      </c>
      <c r="C80" s="11"/>
      <c r="D80" s="11">
        <v>4</v>
      </c>
      <c r="E80" s="12">
        <v>9500</v>
      </c>
      <c r="G80">
        <f t="shared" si="0"/>
        <v>-6500</v>
      </c>
    </row>
    <row r="81" spans="1:8">
      <c r="F81" t="s">
        <v>58</v>
      </c>
      <c r="G81" s="18">
        <f>IRR(G76:G80)</f>
        <v>0.12180231671243957</v>
      </c>
      <c r="H81" t="s">
        <v>77</v>
      </c>
    </row>
    <row r="82" spans="1:8">
      <c r="A82" t="s">
        <v>30</v>
      </c>
      <c r="B82" s="1">
        <v>0.12</v>
      </c>
      <c r="D82" t="s">
        <v>30</v>
      </c>
      <c r="E82" s="1">
        <v>0.12</v>
      </c>
      <c r="H82" t="s">
        <v>78</v>
      </c>
    </row>
    <row r="83" spans="1:8">
      <c r="A83" t="s">
        <v>71</v>
      </c>
    </row>
    <row r="84" spans="1:8">
      <c r="A84" t="s">
        <v>58</v>
      </c>
      <c r="B84" s="29">
        <f>IRR(B76:B80)</f>
        <v>0.15857988245868215</v>
      </c>
      <c r="E84" s="18">
        <f>IRR(E76:E80)</f>
        <v>0.14693254813682222</v>
      </c>
    </row>
    <row r="85" spans="1:8">
      <c r="G85" t="s">
        <v>72</v>
      </c>
    </row>
    <row r="86" spans="1:8">
      <c r="A86" t="s">
        <v>70</v>
      </c>
    </row>
    <row r="87" spans="1:8">
      <c r="A87" t="s">
        <v>57</v>
      </c>
      <c r="B87" s="13">
        <f>NPV(B82,B77:B80)</f>
        <v>18188.669759995832</v>
      </c>
      <c r="E87" s="13">
        <f>NPV(E82,(E77:E80))</f>
        <v>18215.127648635978</v>
      </c>
    </row>
    <row r="88" spans="1:8">
      <c r="B88" s="13">
        <f>B87+B76</f>
        <v>1188.6697599958316</v>
      </c>
      <c r="E88" s="30">
        <f>E87+E76</f>
        <v>1215.1276486359784</v>
      </c>
    </row>
    <row r="90" spans="1:8">
      <c r="A90" t="s">
        <v>73</v>
      </c>
    </row>
    <row r="91" spans="1:8">
      <c r="A91" t="s">
        <v>74</v>
      </c>
      <c r="B91" s="1">
        <v>0.13</v>
      </c>
      <c r="D91" t="s">
        <v>74</v>
      </c>
      <c r="E91" s="1">
        <v>0.13</v>
      </c>
    </row>
    <row r="92" spans="1:8">
      <c r="B92" s="13">
        <f>NPV(B91,B77:B80)</f>
        <v>17866.879795742298</v>
      </c>
      <c r="E92" s="13">
        <f>NPV(E91,E77:E80)</f>
        <v>17749.6242947471</v>
      </c>
    </row>
    <row r="93" spans="1:8">
      <c r="B93" s="30">
        <f>B92+B76</f>
        <v>866.87979574229757</v>
      </c>
      <c r="E93" s="13">
        <f>E92+E76</f>
        <v>749.62429474710007</v>
      </c>
    </row>
    <row r="94" spans="1:8">
      <c r="A94" s="2" t="s">
        <v>79</v>
      </c>
    </row>
    <row r="95" spans="1:8">
      <c r="A95" t="s">
        <v>75</v>
      </c>
    </row>
    <row r="96" spans="1:8">
      <c r="B96" t="s">
        <v>66</v>
      </c>
      <c r="C96" t="s">
        <v>67</v>
      </c>
    </row>
    <row r="97" spans="1:4">
      <c r="A97" s="1">
        <v>0</v>
      </c>
      <c r="B97" s="13">
        <f>NPV(A97,($B77:$B80),$B76)</f>
        <v>6000</v>
      </c>
      <c r="C97" s="13">
        <f>NPV(A97,E77:E80)+E76</f>
        <v>8500</v>
      </c>
    </row>
    <row r="98" spans="1:4">
      <c r="A98" s="1">
        <v>0.05</v>
      </c>
      <c r="B98" s="13">
        <f>NPV(A98,B77:B80)+B76</f>
        <v>3755.5493852869913</v>
      </c>
      <c r="C98" s="13">
        <f>NPV(A98,E77:E80)+E76</f>
        <v>5030.1211943583148</v>
      </c>
    </row>
    <row r="99" spans="1:4">
      <c r="A99" s="1">
        <v>0.1</v>
      </c>
      <c r="B99" s="13">
        <f>NPV(A99,B77:B80)+B76</f>
        <v>1863.4656102725166</v>
      </c>
      <c r="C99" s="13">
        <f>NPV(A99,E77:E80)+E76</f>
        <v>2200.8742572228584</v>
      </c>
    </row>
    <row r="100" spans="1:4">
      <c r="A100" s="1">
        <f>G81</f>
        <v>0.12180231671243957</v>
      </c>
      <c r="B100" s="30">
        <f>NPV(A100,B77:B80)+B76</f>
        <v>1129.9282647220462</v>
      </c>
      <c r="C100" s="30">
        <f>NPV(A100,E77:E80)+E76</f>
        <v>1129.9282647221989</v>
      </c>
    </row>
    <row r="101" spans="1:4">
      <c r="A101" s="1">
        <v>0.15</v>
      </c>
      <c r="B101" s="13">
        <f>NPV(A101,B77:B80)+B76</f>
        <v>252.36830914698294</v>
      </c>
      <c r="C101" s="13">
        <f>NPV(A101,E77:E80)+E76</f>
        <v>-130.84930371174778</v>
      </c>
    </row>
    <row r="102" spans="1:4">
      <c r="A102" s="1">
        <v>0.2</v>
      </c>
      <c r="B102" s="13">
        <f>NPV(A102,B77:B80)+B76</f>
        <v>-1131.9444444444453</v>
      </c>
      <c r="C102" s="13">
        <f>NPV(A102,E77:E80)+E76</f>
        <v>-2071.3734567901211</v>
      </c>
    </row>
    <row r="103" spans="1:4">
      <c r="A103" s="1">
        <v>0.25</v>
      </c>
      <c r="B103" s="13">
        <f>NPV(A103,B77:B80)+B76</f>
        <v>-2331.2000000000007</v>
      </c>
      <c r="C103" s="13">
        <f>NPV(A103,E77:E80)+E76</f>
        <v>-3700.7999999999993</v>
      </c>
    </row>
    <row r="105" spans="1:4">
      <c r="A105" s="14" t="s">
        <v>80</v>
      </c>
      <c r="B105" s="5"/>
      <c r="C105" s="5"/>
      <c r="D105" s="6"/>
    </row>
    <row r="106" spans="1:4">
      <c r="A106" s="15" t="s">
        <v>81</v>
      </c>
      <c r="B106" s="8"/>
      <c r="C106" s="8" t="s">
        <v>84</v>
      </c>
      <c r="D106" s="9"/>
    </row>
    <row r="107" spans="1:4">
      <c r="A107" s="15" t="s">
        <v>82</v>
      </c>
      <c r="B107" s="8"/>
      <c r="C107" s="8" t="s">
        <v>13</v>
      </c>
      <c r="D107" s="9"/>
    </row>
    <row r="108" spans="1:4">
      <c r="A108" s="16" t="s">
        <v>83</v>
      </c>
      <c r="B108" s="3"/>
      <c r="C108" s="3" t="s">
        <v>85</v>
      </c>
      <c r="D108" s="17"/>
    </row>
    <row r="111" spans="1:4">
      <c r="A111" s="31" t="s">
        <v>96</v>
      </c>
      <c r="D111" t="s">
        <v>97</v>
      </c>
    </row>
    <row r="112" spans="1:4">
      <c r="A112" s="4">
        <v>0</v>
      </c>
      <c r="B112" s="32">
        <v>-90000</v>
      </c>
      <c r="D112" t="s">
        <v>99</v>
      </c>
    </row>
    <row r="113" spans="1:10">
      <c r="A113" s="7">
        <v>1</v>
      </c>
      <c r="B113" s="28">
        <v>132000</v>
      </c>
      <c r="D113" t="s">
        <v>101</v>
      </c>
    </row>
    <row r="114" spans="1:10">
      <c r="A114" s="7">
        <v>2</v>
      </c>
      <c r="B114" s="28">
        <v>100000</v>
      </c>
    </row>
    <row r="115" spans="1:10">
      <c r="A115" s="7">
        <v>3</v>
      </c>
      <c r="B115" s="28">
        <v>-150000</v>
      </c>
    </row>
    <row r="116" spans="1:10">
      <c r="A116" s="10" t="s">
        <v>100</v>
      </c>
      <c r="B116" s="52">
        <f>IRR(B112:B115)</f>
        <v>0.10110204889958951</v>
      </c>
    </row>
    <row r="117" spans="1:10">
      <c r="A117" t="s">
        <v>98</v>
      </c>
    </row>
    <row r="119" spans="1:10">
      <c r="A119" s="2" t="s">
        <v>102</v>
      </c>
    </row>
    <row r="121" spans="1:10">
      <c r="A121" s="21" t="s">
        <v>103</v>
      </c>
      <c r="B121" s="23" t="s">
        <v>69</v>
      </c>
      <c r="C121" s="46" t="s">
        <v>106</v>
      </c>
      <c r="D121" s="47" t="s">
        <v>107</v>
      </c>
      <c r="E121" s="47" t="s">
        <v>108</v>
      </c>
      <c r="F121" s="48" t="s">
        <v>109</v>
      </c>
      <c r="H121" s="31" t="s">
        <v>110</v>
      </c>
    </row>
    <row r="122" spans="1:10">
      <c r="A122" s="7">
        <v>0</v>
      </c>
      <c r="B122" s="28">
        <v>-165000</v>
      </c>
      <c r="C122" s="38">
        <f>-PV($B$127,A122,,B122)</f>
        <v>-165000</v>
      </c>
      <c r="D122" s="27">
        <v>0</v>
      </c>
      <c r="E122" s="39">
        <f>-PV($B$127,A122,,B122)</f>
        <v>-165000</v>
      </c>
      <c r="F122" s="40">
        <f>E122</f>
        <v>-165000</v>
      </c>
      <c r="H122" t="s">
        <v>47</v>
      </c>
    </row>
    <row r="123" spans="1:10">
      <c r="A123" s="7">
        <v>1</v>
      </c>
      <c r="B123" s="28">
        <v>63120</v>
      </c>
      <c r="C123" s="38">
        <f t="shared" ref="C123:C124" si="1">-PV($B$127,A123,,B123)</f>
        <v>56357.142857142855</v>
      </c>
      <c r="D123" s="41">
        <f>F122</f>
        <v>-165000</v>
      </c>
      <c r="E123" s="39">
        <f>-PV($B$127,A123,,B123)</f>
        <v>56357.142857142855</v>
      </c>
      <c r="F123" s="40">
        <f>F122+E123</f>
        <v>-108642.85714285714</v>
      </c>
      <c r="H123">
        <v>1</v>
      </c>
      <c r="I123" t="s">
        <v>111</v>
      </c>
      <c r="J123" s="13">
        <f>-(F124)</f>
        <v>52201.530612244911</v>
      </c>
    </row>
    <row r="124" spans="1:10">
      <c r="A124" s="7">
        <v>2</v>
      </c>
      <c r="B124" s="28">
        <v>70800</v>
      </c>
      <c r="C124" s="38">
        <f t="shared" si="1"/>
        <v>56441.326530612234</v>
      </c>
      <c r="D124" s="41">
        <f>F123</f>
        <v>-108642.85714285714</v>
      </c>
      <c r="E124" s="39">
        <f>-PV($B$127,A124,,B124)</f>
        <v>56441.326530612234</v>
      </c>
      <c r="F124" s="40">
        <f>F123+E124</f>
        <v>-52201.530612244911</v>
      </c>
      <c r="H124">
        <v>1</v>
      </c>
      <c r="I124" t="s">
        <v>112</v>
      </c>
      <c r="J124" s="13">
        <f>E125</f>
        <v>64828.944970845463</v>
      </c>
    </row>
    <row r="125" spans="1:10">
      <c r="A125" s="10">
        <v>3</v>
      </c>
      <c r="B125" s="12">
        <v>91080</v>
      </c>
      <c r="C125" s="42">
        <f>-PV($B$127,A125,,B125)</f>
        <v>64828.944970845463</v>
      </c>
      <c r="D125" s="43">
        <f>F124</f>
        <v>-52201.530612244911</v>
      </c>
      <c r="E125" s="44">
        <f>-PV($B$127,A125,,B125)</f>
        <v>64828.944970845463</v>
      </c>
      <c r="F125" s="45">
        <f>F124+E125</f>
        <v>12627.414358600552</v>
      </c>
      <c r="H125">
        <f>J125</f>
        <v>0.80521949934123893</v>
      </c>
      <c r="J125">
        <f>J123/J124</f>
        <v>0.80521949934123893</v>
      </c>
    </row>
    <row r="126" spans="1:10">
      <c r="H126">
        <f>SUM(H123:H125)</f>
        <v>2.8052194993412387</v>
      </c>
    </row>
    <row r="127" spans="1:10">
      <c r="A127" t="s">
        <v>104</v>
      </c>
      <c r="B127" s="1">
        <v>0.12</v>
      </c>
      <c r="D127" t="s">
        <v>57</v>
      </c>
      <c r="E127" s="13">
        <f>NPV(B127,B123:B125)+B122</f>
        <v>12627.414358600538</v>
      </c>
      <c r="H127" s="25" t="s">
        <v>28</v>
      </c>
    </row>
    <row r="128" spans="1:10">
      <c r="A128" t="s">
        <v>105</v>
      </c>
      <c r="H128" t="s">
        <v>113</v>
      </c>
    </row>
    <row r="130" spans="1:3">
      <c r="A130" s="14" t="s">
        <v>115</v>
      </c>
      <c r="B130" s="5"/>
      <c r="C130" s="6"/>
    </row>
    <row r="131" spans="1:3">
      <c r="A131" s="15" t="s">
        <v>119</v>
      </c>
      <c r="B131" s="8"/>
      <c r="C131" s="9" t="s">
        <v>120</v>
      </c>
    </row>
    <row r="132" spans="1:3">
      <c r="A132" s="15" t="s">
        <v>118</v>
      </c>
      <c r="B132" s="8"/>
      <c r="C132" s="9" t="s">
        <v>13</v>
      </c>
    </row>
    <row r="133" spans="1:3">
      <c r="A133" s="16" t="s">
        <v>116</v>
      </c>
      <c r="B133" s="3"/>
      <c r="C133" s="17" t="s">
        <v>117</v>
      </c>
    </row>
    <row r="136" spans="1:3">
      <c r="A136" s="2" t="s">
        <v>121</v>
      </c>
    </row>
    <row r="137" spans="1:3">
      <c r="A137" t="s">
        <v>122</v>
      </c>
      <c r="B137" s="11" t="s">
        <v>123</v>
      </c>
    </row>
    <row r="138" spans="1:3">
      <c r="B138" t="s">
        <v>124</v>
      </c>
    </row>
    <row r="140" spans="1:3">
      <c r="A140" s="14" t="s">
        <v>115</v>
      </c>
      <c r="B140" s="37"/>
      <c r="C140" s="27"/>
    </row>
    <row r="141" spans="1:3">
      <c r="A141" s="15" t="s">
        <v>125</v>
      </c>
      <c r="B141" s="50" t="s">
        <v>117</v>
      </c>
      <c r="C141" s="27"/>
    </row>
    <row r="142" spans="1:3">
      <c r="A142" s="15" t="s">
        <v>126</v>
      </c>
      <c r="B142" s="50" t="s">
        <v>13</v>
      </c>
      <c r="C142" s="27"/>
    </row>
    <row r="143" spans="1:3">
      <c r="A143" s="16" t="s">
        <v>127</v>
      </c>
      <c r="B143" s="51" t="s">
        <v>28</v>
      </c>
      <c r="C143" s="27"/>
    </row>
    <row r="145" spans="1:8">
      <c r="A145" s="21" t="s">
        <v>103</v>
      </c>
      <c r="B145" s="23" t="s">
        <v>69</v>
      </c>
      <c r="C145" s="46" t="s">
        <v>106</v>
      </c>
    </row>
    <row r="146" spans="1:8">
      <c r="A146" s="7">
        <v>0</v>
      </c>
      <c r="B146" s="28">
        <v>-165000</v>
      </c>
      <c r="C146" s="38">
        <f>-PV($B$127,A146,,B146)</f>
        <v>-165000</v>
      </c>
      <c r="E146" s="4" t="s">
        <v>128</v>
      </c>
      <c r="F146" s="53" t="s">
        <v>129</v>
      </c>
      <c r="G146" s="54">
        <f>SUM(C147:C149)</f>
        <v>177627.41435860057</v>
      </c>
      <c r="H146" s="27"/>
    </row>
    <row r="147" spans="1:8">
      <c r="A147" s="7">
        <v>1</v>
      </c>
      <c r="B147" s="28">
        <v>63120</v>
      </c>
      <c r="C147" s="38">
        <f t="shared" ref="C147:C148" si="2">-PV($B$127,A147,,B147)</f>
        <v>56357.142857142855</v>
      </c>
      <c r="E147" s="7"/>
      <c r="F147" s="41">
        <f>-C146</f>
        <v>165000</v>
      </c>
      <c r="G147" s="28"/>
      <c r="H147" s="27"/>
    </row>
    <row r="148" spans="1:8">
      <c r="A148" s="7">
        <v>2</v>
      </c>
      <c r="B148" s="28">
        <v>70800</v>
      </c>
      <c r="C148" s="38">
        <f t="shared" si="2"/>
        <v>56441.326530612234</v>
      </c>
      <c r="E148" s="7"/>
      <c r="F148" s="27"/>
      <c r="G148" s="28"/>
      <c r="H148" s="27"/>
    </row>
    <row r="149" spans="1:8">
      <c r="A149" s="10">
        <v>3</v>
      </c>
      <c r="B149" s="12">
        <v>91080</v>
      </c>
      <c r="C149" s="42">
        <f>-PV($B$127,A149,,B149)</f>
        <v>64828.944970845463</v>
      </c>
      <c r="E149" s="10" t="s">
        <v>122</v>
      </c>
      <c r="F149" s="11">
        <f>G146/F147</f>
        <v>1.0765297839915187</v>
      </c>
      <c r="G149" s="12" t="s">
        <v>130</v>
      </c>
      <c r="H149" s="27"/>
    </row>
    <row r="152" spans="1:8">
      <c r="A152" s="2" t="s">
        <v>131</v>
      </c>
    </row>
    <row r="153" spans="1:8">
      <c r="A153" s="4" t="s">
        <v>128</v>
      </c>
      <c r="B153" s="36" t="s">
        <v>132</v>
      </c>
    </row>
    <row r="154" spans="1:8">
      <c r="A154" s="7"/>
      <c r="B154" s="28" t="s">
        <v>133</v>
      </c>
    </row>
    <row r="155" spans="1:8">
      <c r="A155" s="7"/>
      <c r="B155" s="28"/>
    </row>
    <row r="156" spans="1:8">
      <c r="A156" s="7"/>
      <c r="B156" s="45">
        <f>NPV(B127,B147:B149)</f>
        <v>177627.41435860054</v>
      </c>
    </row>
    <row r="157" spans="1:8">
      <c r="A157" s="7"/>
      <c r="B157" s="40">
        <f>-C146</f>
        <v>165000</v>
      </c>
    </row>
    <row r="158" spans="1:8">
      <c r="A158" s="10"/>
      <c r="B158" s="12">
        <f>B156/B157</f>
        <v>1.0765297839915184</v>
      </c>
    </row>
    <row r="162" spans="1:1">
      <c r="A162" s="2"/>
    </row>
    <row r="164" spans="1:1">
      <c r="A164" s="2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workbookViewId="0">
      <selection activeCell="D26" sqref="D26"/>
    </sheetView>
  </sheetViews>
  <sheetFormatPr baseColWidth="10" defaultRowHeight="15" x14ac:dyDescent="0"/>
  <cols>
    <col min="1" max="1" width="13.33203125" bestFit="1" customWidth="1"/>
    <col min="2" max="3" width="12.33203125" bestFit="1" customWidth="1"/>
    <col min="5" max="5" width="11.33203125" bestFit="1" customWidth="1"/>
  </cols>
  <sheetData>
    <row r="1" spans="1:3">
      <c r="A1" t="s">
        <v>49</v>
      </c>
    </row>
    <row r="3" spans="1:3">
      <c r="A3" s="21" t="s">
        <v>50</v>
      </c>
      <c r="B3" s="23" t="s">
        <v>51</v>
      </c>
    </row>
    <row r="4" spans="1:3">
      <c r="A4">
        <v>0</v>
      </c>
      <c r="B4">
        <v>-192700</v>
      </c>
    </row>
    <row r="5" spans="1:3">
      <c r="A5">
        <v>1</v>
      </c>
      <c r="B5">
        <v>53200</v>
      </c>
    </row>
    <row r="6" spans="1:3">
      <c r="A6">
        <v>2</v>
      </c>
      <c r="B6">
        <v>77600</v>
      </c>
    </row>
    <row r="7" spans="1:3">
      <c r="A7">
        <v>3</v>
      </c>
      <c r="B7">
        <v>51000</v>
      </c>
    </row>
    <row r="8" spans="1:3">
      <c r="A8">
        <v>4</v>
      </c>
      <c r="B8">
        <v>26000</v>
      </c>
    </row>
    <row r="10" spans="1:3">
      <c r="A10" t="s">
        <v>52</v>
      </c>
      <c r="B10" s="18">
        <v>0.105</v>
      </c>
    </row>
    <row r="11" spans="1:3">
      <c r="A11" t="s">
        <v>53</v>
      </c>
      <c r="C11" t="s">
        <v>54</v>
      </c>
    </row>
    <row r="13" spans="1:3">
      <c r="A13" s="2" t="s">
        <v>55</v>
      </c>
    </row>
    <row r="14" spans="1:3">
      <c r="A14" t="s">
        <v>56</v>
      </c>
    </row>
    <row r="15" spans="1:3">
      <c r="A15" s="2" t="s">
        <v>57</v>
      </c>
    </row>
    <row r="16" spans="1:3">
      <c r="A16" s="13">
        <f>NPV(B10,B5,B6,B7,B8)</f>
        <v>166936.32928176929</v>
      </c>
    </row>
    <row r="17" spans="1:9">
      <c r="A17" s="13">
        <f>A16+B4</f>
        <v>-25763.670718230715</v>
      </c>
      <c r="B17" s="26" t="s">
        <v>28</v>
      </c>
    </row>
    <row r="19" spans="1:9">
      <c r="A19" s="2" t="s">
        <v>58</v>
      </c>
    </row>
    <row r="20" spans="1:9">
      <c r="A20" s="18">
        <f>IRR(B4:B8)</f>
        <v>3.450832247318969E-2</v>
      </c>
      <c r="B20" s="26" t="s">
        <v>28</v>
      </c>
    </row>
    <row r="22" spans="1:9">
      <c r="A22" s="2" t="s">
        <v>59</v>
      </c>
    </row>
    <row r="24" spans="1:9">
      <c r="A24" s="21" t="s">
        <v>50</v>
      </c>
      <c r="B24" t="s">
        <v>60</v>
      </c>
      <c r="C24" t="s">
        <v>42</v>
      </c>
      <c r="D24" t="s">
        <v>61</v>
      </c>
    </row>
    <row r="25" spans="1:9">
      <c r="A25">
        <v>0</v>
      </c>
      <c r="B25">
        <v>0</v>
      </c>
      <c r="C25">
        <v>-192700</v>
      </c>
      <c r="D25">
        <v>-192700</v>
      </c>
      <c r="F25">
        <v>1</v>
      </c>
    </row>
    <row r="26" spans="1:9">
      <c r="A26">
        <v>1</v>
      </c>
      <c r="B26">
        <v>-192700</v>
      </c>
      <c r="C26">
        <v>53200</v>
      </c>
      <c r="D26">
        <f>B26+C26</f>
        <v>-139500</v>
      </c>
      <c r="F26">
        <v>1</v>
      </c>
    </row>
    <row r="27" spans="1:9">
      <c r="A27">
        <v>2</v>
      </c>
      <c r="B27">
        <f>D26</f>
        <v>-139500</v>
      </c>
      <c r="C27">
        <v>77600</v>
      </c>
      <c r="D27">
        <f t="shared" ref="D27:D29" si="0">B27+C27</f>
        <v>-61900</v>
      </c>
      <c r="F27">
        <v>1</v>
      </c>
    </row>
    <row r="28" spans="1:9">
      <c r="A28">
        <v>3</v>
      </c>
      <c r="B28">
        <f>D27</f>
        <v>-61900</v>
      </c>
      <c r="C28">
        <v>51000</v>
      </c>
      <c r="D28" s="25">
        <f t="shared" si="0"/>
        <v>-10900</v>
      </c>
      <c r="F28">
        <f>I30</f>
        <v>0.41923076923076924</v>
      </c>
      <c r="G28" t="s">
        <v>62</v>
      </c>
      <c r="I28" s="25">
        <f>10900</f>
        <v>10900</v>
      </c>
    </row>
    <row r="29" spans="1:9">
      <c r="A29">
        <v>4</v>
      </c>
      <c r="B29">
        <f>D28</f>
        <v>-10900</v>
      </c>
      <c r="C29" s="25">
        <v>26000</v>
      </c>
      <c r="D29">
        <f t="shared" si="0"/>
        <v>15100</v>
      </c>
      <c r="F29">
        <f>SUM(F25:F28)</f>
        <v>3.4192307692307691</v>
      </c>
      <c r="G29" t="s">
        <v>64</v>
      </c>
      <c r="I29" s="25">
        <f>C29</f>
        <v>26000</v>
      </c>
    </row>
    <row r="30" spans="1:9">
      <c r="I30" s="25">
        <f>I28/I29</f>
        <v>0.41923076923076924</v>
      </c>
    </row>
    <row r="31" spans="1:9">
      <c r="A31" t="s">
        <v>25</v>
      </c>
      <c r="B31" t="s">
        <v>63</v>
      </c>
    </row>
    <row r="32" spans="1:9">
      <c r="B32" s="26"/>
    </row>
    <row r="33" spans="1:7">
      <c r="A33" t="s">
        <v>86</v>
      </c>
    </row>
    <row r="34" spans="1:7">
      <c r="A34" s="14" t="s">
        <v>47</v>
      </c>
      <c r="B34" s="5" t="s">
        <v>66</v>
      </c>
      <c r="C34" s="5"/>
      <c r="D34" s="6" t="s">
        <v>67</v>
      </c>
    </row>
    <row r="35" spans="1:7">
      <c r="A35" s="7">
        <v>0</v>
      </c>
      <c r="B35" s="27">
        <v>-320000</v>
      </c>
      <c r="C35" s="27"/>
      <c r="D35" s="28">
        <v>-358000</v>
      </c>
    </row>
    <row r="36" spans="1:7">
      <c r="A36" s="7">
        <v>1</v>
      </c>
      <c r="B36" s="27">
        <v>0</v>
      </c>
      <c r="C36" s="27"/>
      <c r="D36" s="28">
        <v>330500</v>
      </c>
    </row>
    <row r="37" spans="1:7">
      <c r="A37" s="7">
        <v>2</v>
      </c>
      <c r="B37" s="27">
        <v>0</v>
      </c>
      <c r="C37" s="27"/>
      <c r="D37" s="28">
        <v>79500</v>
      </c>
    </row>
    <row r="38" spans="1:7">
      <c r="A38" s="10">
        <v>3</v>
      </c>
      <c r="B38" s="11">
        <v>425000</v>
      </c>
      <c r="C38" s="11"/>
      <c r="D38" s="12">
        <v>0</v>
      </c>
    </row>
    <row r="40" spans="1:7">
      <c r="A40" s="2" t="s">
        <v>87</v>
      </c>
    </row>
    <row r="41" spans="1:7">
      <c r="A41" s="1">
        <f>IRR(B35:B38)</f>
        <v>9.9207418039548356E-2</v>
      </c>
      <c r="D41" s="33">
        <f>IRR(D35:D38)</f>
        <v>0.12123934097863898</v>
      </c>
      <c r="F41" t="s">
        <v>84</v>
      </c>
    </row>
    <row r="43" spans="1:7">
      <c r="A43" s="2" t="s">
        <v>88</v>
      </c>
    </row>
    <row r="44" spans="1:7">
      <c r="A44" t="s">
        <v>74</v>
      </c>
      <c r="B44" s="1">
        <v>7.0000000000000007E-2</v>
      </c>
      <c r="D44" t="s">
        <v>74</v>
      </c>
      <c r="E44" s="1">
        <v>7.0000000000000007E-2</v>
      </c>
    </row>
    <row r="45" spans="1:7">
      <c r="B45" s="30">
        <f>NPV(B44,B36:B38)+B35</f>
        <v>26926.597678612103</v>
      </c>
      <c r="E45" s="13">
        <f>NPV(E44,D36:D38)+D35</f>
        <v>20316.88357061753</v>
      </c>
      <c r="G45" t="s">
        <v>89</v>
      </c>
    </row>
    <row r="47" spans="1:7">
      <c r="A47" s="2" t="s">
        <v>90</v>
      </c>
    </row>
    <row r="48" spans="1:7">
      <c r="A48" s="14" t="s">
        <v>76</v>
      </c>
      <c r="B48" s="32"/>
    </row>
    <row r="49" spans="1:5">
      <c r="A49" s="7">
        <v>0</v>
      </c>
      <c r="B49" s="28">
        <f>B35-D35</f>
        <v>38000</v>
      </c>
    </row>
    <row r="50" spans="1:5">
      <c r="A50" s="7">
        <v>1</v>
      </c>
      <c r="B50" s="28">
        <f>B36-D36</f>
        <v>-330500</v>
      </c>
      <c r="C50" t="s">
        <v>58</v>
      </c>
      <c r="D50" s="29">
        <f>IRR(B49:B52)</f>
        <v>8.2290648843374781E-2</v>
      </c>
    </row>
    <row r="51" spans="1:5">
      <c r="A51" s="7">
        <v>2</v>
      </c>
      <c r="B51" s="28">
        <f>B37-D37</f>
        <v>-79500</v>
      </c>
    </row>
    <row r="52" spans="1:5">
      <c r="A52" s="10">
        <v>3</v>
      </c>
      <c r="B52" s="12">
        <f>B38-D38</f>
        <v>425000</v>
      </c>
    </row>
    <row r="54" spans="1:5">
      <c r="A54" s="2" t="s">
        <v>91</v>
      </c>
    </row>
    <row r="55" spans="1:5">
      <c r="A55" s="35">
        <f>NPV(D50,B36:B38)+B35</f>
        <v>15241.065087120165</v>
      </c>
    </row>
    <row r="57" spans="1:5">
      <c r="A57" s="2" t="s">
        <v>95</v>
      </c>
    </row>
    <row r="58" spans="1:5">
      <c r="B58" t="s">
        <v>92</v>
      </c>
      <c r="C58" t="s">
        <v>67</v>
      </c>
    </row>
    <row r="59" spans="1:5">
      <c r="A59" s="1">
        <v>7.0000000000000007E-2</v>
      </c>
      <c r="B59" s="13">
        <f>NPV(A59,B36:B38)+B35</f>
        <v>26926.597678612103</v>
      </c>
      <c r="C59" s="13">
        <f>NPV(A59,D36:D38)+D35</f>
        <v>20316.88357061753</v>
      </c>
    </row>
    <row r="60" spans="1:5">
      <c r="A60" s="1">
        <v>0.08</v>
      </c>
      <c r="B60" s="30">
        <f>NPV(A60,B36:B38)+B35</f>
        <v>17378.702433572034</v>
      </c>
      <c r="C60" s="13">
        <f>NPV(A60,D36:D38)+D35</f>
        <v>16176.954732510261</v>
      </c>
      <c r="E60" t="s">
        <v>93</v>
      </c>
    </row>
    <row r="61" spans="1:5">
      <c r="A61" s="18">
        <f>D50</f>
        <v>8.2290648843374781E-2</v>
      </c>
      <c r="B61" s="34">
        <f>A55</f>
        <v>15241.065087120165</v>
      </c>
      <c r="C61" s="34">
        <f>B61</f>
        <v>15241.065087120165</v>
      </c>
    </row>
    <row r="62" spans="1:5">
      <c r="A62" s="1">
        <v>0.09</v>
      </c>
      <c r="B62" s="13">
        <f>NPV(A62,B36:B38)+B35</f>
        <v>8177.9790259522852</v>
      </c>
      <c r="C62" s="30">
        <f>NPV(A62,D36:D38)+D35</f>
        <v>12124.568639003439</v>
      </c>
      <c r="E62" t="s">
        <v>94</v>
      </c>
    </row>
    <row r="63" spans="1:5">
      <c r="A63" s="1">
        <v>0.1</v>
      </c>
      <c r="B63" s="13">
        <f>NPV(A63,B36:B38)+B35</f>
        <v>-691.20961682952475</v>
      </c>
      <c r="C63" s="13">
        <f>NPV(A63,D36:D38)+D35</f>
        <v>8157.0247933884384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opLeftCell="A96" workbookViewId="0">
      <selection activeCell="B103" sqref="B103"/>
    </sheetView>
  </sheetViews>
  <sheetFormatPr baseColWidth="10" defaultRowHeight="15" x14ac:dyDescent="0"/>
  <cols>
    <col min="2" max="2" width="15.6640625" customWidth="1"/>
    <col min="3" max="3" width="15.33203125" customWidth="1"/>
    <col min="4" max="5" width="12" bestFit="1" customWidth="1"/>
    <col min="6" max="6" width="65.83203125" customWidth="1"/>
    <col min="7" max="7" width="12" bestFit="1" customWidth="1"/>
    <col min="11" max="11" width="11" bestFit="1" customWidth="1"/>
  </cols>
  <sheetData>
    <row r="1" spans="1:6">
      <c r="A1" s="122" t="s">
        <v>134</v>
      </c>
      <c r="B1" s="122"/>
      <c r="C1" s="122"/>
      <c r="D1" s="122"/>
      <c r="E1" s="122"/>
      <c r="F1" s="122"/>
    </row>
    <row r="2" spans="1:6">
      <c r="A2" s="122"/>
      <c r="B2" s="122"/>
      <c r="C2" s="122"/>
      <c r="D2" s="122"/>
      <c r="E2" s="122"/>
      <c r="F2" s="122"/>
    </row>
    <row r="3" spans="1:6">
      <c r="A3" s="122"/>
      <c r="B3" s="122"/>
      <c r="C3" s="122"/>
      <c r="D3" s="122"/>
      <c r="E3" s="122"/>
      <c r="F3" s="122"/>
    </row>
    <row r="4" spans="1:6">
      <c r="A4" s="122"/>
      <c r="B4" s="122"/>
      <c r="C4" s="122"/>
      <c r="D4" s="122"/>
      <c r="E4" s="122"/>
      <c r="F4" s="122"/>
    </row>
    <row r="5" spans="1:6">
      <c r="A5" s="122"/>
      <c r="B5" s="122"/>
      <c r="C5" s="122"/>
      <c r="D5" s="122"/>
      <c r="E5" s="122"/>
      <c r="F5" s="122"/>
    </row>
    <row r="6" spans="1:6">
      <c r="A6" s="122"/>
      <c r="B6" s="122"/>
      <c r="C6" s="122"/>
      <c r="D6" s="122"/>
      <c r="E6" s="122"/>
      <c r="F6" s="122"/>
    </row>
    <row r="8" spans="1:6">
      <c r="A8" s="55" t="s">
        <v>135</v>
      </c>
    </row>
    <row r="9" spans="1:6">
      <c r="F9" t="s">
        <v>149</v>
      </c>
    </row>
    <row r="10" spans="1:6">
      <c r="A10">
        <v>1</v>
      </c>
      <c r="B10" s="56" t="s">
        <v>136</v>
      </c>
    </row>
    <row r="11" spans="1:6">
      <c r="A11">
        <v>2</v>
      </c>
      <c r="B11" t="s">
        <v>137</v>
      </c>
    </row>
    <row r="12" spans="1:6">
      <c r="A12">
        <v>3</v>
      </c>
      <c r="B12" t="s">
        <v>138</v>
      </c>
    </row>
    <row r="13" spans="1:6">
      <c r="A13">
        <v>4</v>
      </c>
      <c r="B13" t="s">
        <v>139</v>
      </c>
    </row>
    <row r="14" spans="1:6">
      <c r="A14" s="2" t="s">
        <v>151</v>
      </c>
    </row>
    <row r="15" spans="1:6">
      <c r="A15" s="4" t="s">
        <v>47</v>
      </c>
      <c r="B15" s="32" t="s">
        <v>68</v>
      </c>
      <c r="C15" s="49" t="s">
        <v>142</v>
      </c>
      <c r="D15" s="49" t="s">
        <v>140</v>
      </c>
      <c r="E15" s="32" t="s">
        <v>141</v>
      </c>
    </row>
    <row r="16" spans="1:6">
      <c r="A16" s="7">
        <v>0</v>
      </c>
      <c r="B16" s="28">
        <v>-250001</v>
      </c>
      <c r="C16" s="27">
        <v>0</v>
      </c>
      <c r="D16" s="27">
        <f>B16</f>
        <v>-250001</v>
      </c>
      <c r="E16" s="28">
        <f>D16</f>
        <v>-250001</v>
      </c>
    </row>
    <row r="17" spans="1:11">
      <c r="A17" s="7">
        <v>1</v>
      </c>
      <c r="B17" s="28">
        <v>60000</v>
      </c>
      <c r="C17" s="27">
        <f>E16</f>
        <v>-250001</v>
      </c>
      <c r="D17" s="28">
        <v>60000</v>
      </c>
      <c r="E17" s="28">
        <f>D17+E16</f>
        <v>-190001</v>
      </c>
      <c r="F17">
        <v>1</v>
      </c>
    </row>
    <row r="18" spans="1:11">
      <c r="A18" s="7">
        <v>2</v>
      </c>
      <c r="B18" s="28">
        <v>70000</v>
      </c>
      <c r="C18" s="27">
        <f>E17</f>
        <v>-190001</v>
      </c>
      <c r="D18" s="28">
        <v>70000</v>
      </c>
      <c r="E18" s="28">
        <f>D18+E17</f>
        <v>-120001</v>
      </c>
      <c r="F18">
        <v>1</v>
      </c>
    </row>
    <row r="19" spans="1:11">
      <c r="A19" s="7">
        <v>3</v>
      </c>
      <c r="B19" s="28">
        <v>80000</v>
      </c>
      <c r="C19" s="27">
        <f>E18</f>
        <v>-120001</v>
      </c>
      <c r="D19" s="28">
        <v>80000</v>
      </c>
      <c r="E19" s="28">
        <f>D19+E18</f>
        <v>-40001</v>
      </c>
      <c r="F19">
        <v>1</v>
      </c>
      <c r="H19" t="s">
        <v>143</v>
      </c>
      <c r="I19">
        <f>-E19</f>
        <v>40001</v>
      </c>
    </row>
    <row r="20" spans="1:11">
      <c r="A20" s="7">
        <v>4</v>
      </c>
      <c r="B20" s="28">
        <v>90000</v>
      </c>
      <c r="C20" s="27">
        <f>E19</f>
        <v>-40001</v>
      </c>
      <c r="D20" s="28">
        <v>90000</v>
      </c>
      <c r="E20" s="28">
        <f>D20+E19</f>
        <v>49999</v>
      </c>
      <c r="F20">
        <f>I21</f>
        <v>0.44445555555555555</v>
      </c>
      <c r="I20">
        <f>D20</f>
        <v>90000</v>
      </c>
    </row>
    <row r="21" spans="1:11">
      <c r="A21" s="10">
        <v>5</v>
      </c>
      <c r="B21" s="12">
        <v>110000</v>
      </c>
      <c r="C21" s="11">
        <f>E20</f>
        <v>49999</v>
      </c>
      <c r="D21" s="12">
        <v>110000</v>
      </c>
      <c r="E21" s="12">
        <f>D21+E20</f>
        <v>159999</v>
      </c>
      <c r="F21">
        <f>SUM(F17:F20)</f>
        <v>3.4444555555555554</v>
      </c>
      <c r="I21">
        <f>I19/I20</f>
        <v>0.44445555555555555</v>
      </c>
    </row>
    <row r="22" spans="1:11">
      <c r="F22" t="s">
        <v>144</v>
      </c>
      <c r="G22" t="s">
        <v>117</v>
      </c>
    </row>
    <row r="25" spans="1:11">
      <c r="A25" t="s">
        <v>145</v>
      </c>
      <c r="B25" s="4" t="s">
        <v>47</v>
      </c>
      <c r="C25" s="32" t="s">
        <v>68</v>
      </c>
      <c r="D25" s="57" t="s">
        <v>146</v>
      </c>
      <c r="E25" s="58" t="s">
        <v>142</v>
      </c>
      <c r="F25" s="58" t="s">
        <v>140</v>
      </c>
      <c r="G25" s="59" t="s">
        <v>148</v>
      </c>
    </row>
    <row r="26" spans="1:11">
      <c r="B26" s="7">
        <v>0</v>
      </c>
      <c r="C26" s="28">
        <v>-250001</v>
      </c>
      <c r="D26" s="38">
        <f>-PV($D$33,B26,,C26)</f>
        <v>-250001</v>
      </c>
      <c r="E26" s="27">
        <v>0</v>
      </c>
      <c r="F26" s="41">
        <f t="shared" ref="F26:F31" si="0">D26</f>
        <v>-250001</v>
      </c>
      <c r="G26" s="40">
        <f>F26</f>
        <v>-250001</v>
      </c>
    </row>
    <row r="27" spans="1:11">
      <c r="B27" s="7">
        <v>1</v>
      </c>
      <c r="C27" s="28">
        <v>60000</v>
      </c>
      <c r="D27" s="38">
        <f t="shared" ref="D27:D31" si="1">-PV($D$33,B27,,C27)</f>
        <v>52173.913043478264</v>
      </c>
      <c r="E27" s="41">
        <f>G26</f>
        <v>-250001</v>
      </c>
      <c r="F27" s="41">
        <f t="shared" si="0"/>
        <v>52173.913043478264</v>
      </c>
      <c r="G27" s="40">
        <f>F27+G26</f>
        <v>-197827.08695652173</v>
      </c>
      <c r="I27">
        <v>1</v>
      </c>
    </row>
    <row r="28" spans="1:11">
      <c r="B28" s="7">
        <v>2</v>
      </c>
      <c r="C28" s="28">
        <v>70000</v>
      </c>
      <c r="D28" s="38">
        <f t="shared" si="1"/>
        <v>52930.056710775054</v>
      </c>
      <c r="E28" s="41">
        <f>G27</f>
        <v>-197827.08695652173</v>
      </c>
      <c r="F28" s="41">
        <f t="shared" si="0"/>
        <v>52930.056710775054</v>
      </c>
      <c r="G28" s="40">
        <f>F28+G27</f>
        <v>-144897.03024574666</v>
      </c>
      <c r="I28">
        <v>1</v>
      </c>
    </row>
    <row r="29" spans="1:11">
      <c r="B29" s="7">
        <v>3</v>
      </c>
      <c r="C29" s="28">
        <v>80000</v>
      </c>
      <c r="D29" s="38">
        <f t="shared" si="1"/>
        <v>52601.29859455907</v>
      </c>
      <c r="E29" s="41">
        <f>G28</f>
        <v>-144897.03024574666</v>
      </c>
      <c r="F29" s="41">
        <f t="shared" si="0"/>
        <v>52601.29859455907</v>
      </c>
      <c r="G29" s="40">
        <f>F29+G28</f>
        <v>-92295.731651187583</v>
      </c>
      <c r="I29">
        <v>1</v>
      </c>
    </row>
    <row r="30" spans="1:11">
      <c r="B30" s="7">
        <v>4</v>
      </c>
      <c r="C30" s="28">
        <v>90000</v>
      </c>
      <c r="D30" s="38">
        <f t="shared" si="1"/>
        <v>51457.792103373002</v>
      </c>
      <c r="E30" s="41">
        <f>G29</f>
        <v>-92295.731651187583</v>
      </c>
      <c r="F30" s="41">
        <f t="shared" si="0"/>
        <v>51457.792103373002</v>
      </c>
      <c r="G30" s="40">
        <f>F30+G29</f>
        <v>-40837.939547814582</v>
      </c>
      <c r="I30">
        <v>1</v>
      </c>
      <c r="J30" t="s">
        <v>111</v>
      </c>
      <c r="K30" s="13">
        <f>-G30</f>
        <v>40837.939547814582</v>
      </c>
    </row>
    <row r="31" spans="1:11">
      <c r="B31" s="10">
        <v>5</v>
      </c>
      <c r="C31" s="12">
        <v>110000</v>
      </c>
      <c r="D31" s="42">
        <f t="shared" si="1"/>
        <v>54689.44088281189</v>
      </c>
      <c r="E31" s="43">
        <f>G30</f>
        <v>-40837.939547814582</v>
      </c>
      <c r="F31" s="43">
        <f t="shared" si="0"/>
        <v>54689.44088281189</v>
      </c>
      <c r="G31" s="45">
        <f>F31+G30</f>
        <v>13851.501334997309</v>
      </c>
      <c r="I31">
        <f>K32</f>
        <v>0.7467243930198848</v>
      </c>
      <c r="K31" s="13">
        <f>F31</f>
        <v>54689.44088281189</v>
      </c>
    </row>
    <row r="32" spans="1:11">
      <c r="I32" s="25">
        <f>SUM(I27:I31)</f>
        <v>4.7467243930198846</v>
      </c>
      <c r="K32">
        <f>K30/K31</f>
        <v>0.7467243930198848</v>
      </c>
    </row>
    <row r="33" spans="1:9">
      <c r="B33" t="s">
        <v>147</v>
      </c>
      <c r="D33" s="1">
        <v>0.15</v>
      </c>
      <c r="I33" s="25" t="s">
        <v>28</v>
      </c>
    </row>
    <row r="34" spans="1:9">
      <c r="F34" t="s">
        <v>149</v>
      </c>
    </row>
    <row r="36" spans="1:9">
      <c r="A36" t="s">
        <v>150</v>
      </c>
      <c r="B36" t="s">
        <v>152</v>
      </c>
      <c r="D36" s="25" t="s">
        <v>130</v>
      </c>
    </row>
    <row r="37" spans="1:9">
      <c r="B37" s="13">
        <f>NPV(D33,C27:C31)+C26</f>
        <v>13851.501334997301</v>
      </c>
    </row>
    <row r="39" spans="1:9">
      <c r="A39" t="s">
        <v>153</v>
      </c>
      <c r="B39" t="s">
        <v>154</v>
      </c>
      <c r="D39" s="25" t="s">
        <v>28</v>
      </c>
    </row>
    <row r="40" spans="1:9">
      <c r="B40" s="60">
        <f>NPV(D33,C27:C31)</f>
        <v>263852.5013349973</v>
      </c>
    </row>
    <row r="41" spans="1:9">
      <c r="B41">
        <f>C26</f>
        <v>-250001</v>
      </c>
    </row>
    <row r="42" spans="1:9">
      <c r="B42" s="13">
        <f>B40/B41</f>
        <v>-1.0554057837168542</v>
      </c>
    </row>
    <row r="45" spans="1:9" ht="20">
      <c r="A45" s="61" t="s">
        <v>155</v>
      </c>
    </row>
    <row r="47" spans="1:9">
      <c r="A47" t="s">
        <v>156</v>
      </c>
    </row>
    <row r="49" spans="1:3">
      <c r="B49" s="62" t="s">
        <v>157</v>
      </c>
      <c r="C49" s="62" t="s">
        <v>158</v>
      </c>
    </row>
    <row r="50" spans="1:3">
      <c r="A50">
        <v>0</v>
      </c>
      <c r="B50" s="63">
        <v>-5000</v>
      </c>
      <c r="C50" s="63">
        <v>-5000</v>
      </c>
    </row>
    <row r="51" spans="1:3">
      <c r="A51">
        <v>1</v>
      </c>
      <c r="B51" s="63">
        <v>3000</v>
      </c>
      <c r="C51" s="63">
        <v>1000</v>
      </c>
    </row>
    <row r="52" spans="1:3">
      <c r="A52">
        <v>2</v>
      </c>
      <c r="B52" s="63">
        <v>1000</v>
      </c>
      <c r="C52" s="63">
        <v>500</v>
      </c>
    </row>
    <row r="53" spans="1:3">
      <c r="A53">
        <v>3</v>
      </c>
      <c r="B53" s="63">
        <v>2000</v>
      </c>
      <c r="C53" s="63">
        <v>2500</v>
      </c>
    </row>
    <row r="54" spans="1:3">
      <c r="A54">
        <v>4</v>
      </c>
      <c r="B54" s="63">
        <v>500</v>
      </c>
      <c r="C54" s="63">
        <v>3500</v>
      </c>
    </row>
    <row r="56" spans="1:3">
      <c r="A56" s="55" t="s">
        <v>135</v>
      </c>
    </row>
    <row r="58" spans="1:3">
      <c r="A58">
        <v>1</v>
      </c>
      <c r="B58" t="s">
        <v>159</v>
      </c>
    </row>
    <row r="59" spans="1:3">
      <c r="A59">
        <v>2</v>
      </c>
      <c r="B59" t="s">
        <v>160</v>
      </c>
    </row>
    <row r="60" spans="1:3">
      <c r="A60">
        <v>3</v>
      </c>
      <c r="B60" t="s">
        <v>161</v>
      </c>
    </row>
    <row r="61" spans="1:3">
      <c r="A61">
        <v>4</v>
      </c>
      <c r="B61" t="s">
        <v>162</v>
      </c>
    </row>
    <row r="62" spans="1:3">
      <c r="A62">
        <v>5</v>
      </c>
      <c r="B62" t="s">
        <v>163</v>
      </c>
    </row>
    <row r="64" spans="1:3">
      <c r="B64" t="s">
        <v>165</v>
      </c>
    </row>
    <row r="65" spans="1:4">
      <c r="B65" t="s">
        <v>166</v>
      </c>
    </row>
    <row r="68" spans="1:4">
      <c r="B68" s="62" t="s">
        <v>157</v>
      </c>
      <c r="C68" s="62" t="s">
        <v>158</v>
      </c>
      <c r="D68" t="s">
        <v>97</v>
      </c>
    </row>
    <row r="69" spans="1:4">
      <c r="B69" s="1">
        <f>IRR(B50:B54)</f>
        <v>0.14574981491341421</v>
      </c>
      <c r="C69" s="1">
        <f>IRR(C50:C54)</f>
        <v>0.14164980625900192</v>
      </c>
    </row>
    <row r="70" spans="1:4">
      <c r="B70" s="25" t="s">
        <v>167</v>
      </c>
    </row>
    <row r="72" spans="1:4">
      <c r="B72" t="s">
        <v>168</v>
      </c>
      <c r="C72" s="1">
        <v>0.12</v>
      </c>
    </row>
    <row r="73" spans="1:4">
      <c r="B73" s="13">
        <f>NPV(C72,B51:B54)+B50</f>
        <v>217.08484095168569</v>
      </c>
      <c r="C73" s="13">
        <f>NPV(C72,C51:C54)+C50</f>
        <v>295.21797558308936</v>
      </c>
    </row>
    <row r="74" spans="1:4">
      <c r="A74">
        <v>6</v>
      </c>
      <c r="B74" s="25" t="s">
        <v>169</v>
      </c>
    </row>
    <row r="75" spans="1:4">
      <c r="A75">
        <v>7</v>
      </c>
    </row>
    <row r="76" spans="1:4">
      <c r="B76" t="s">
        <v>170</v>
      </c>
      <c r="C76" t="s">
        <v>76</v>
      </c>
      <c r="D76" s="67">
        <f>B50-C50</f>
        <v>0</v>
      </c>
    </row>
    <row r="77" spans="1:4">
      <c r="D77" s="67">
        <f>B51-C51</f>
        <v>2000</v>
      </c>
    </row>
    <row r="78" spans="1:4">
      <c r="A78" t="s">
        <v>151</v>
      </c>
      <c r="D78" s="67">
        <f>B52-C52</f>
        <v>500</v>
      </c>
    </row>
    <row r="79" spans="1:4">
      <c r="D79" s="67">
        <f>B53-C53</f>
        <v>-500</v>
      </c>
    </row>
    <row r="80" spans="1:4">
      <c r="D80" s="67">
        <f>B54-C54</f>
        <v>-3000</v>
      </c>
    </row>
    <row r="81" spans="1:6">
      <c r="D81" s="67" t="s">
        <v>58</v>
      </c>
      <c r="E81" s="70">
        <f>IRR(D76:D80)</f>
        <v>0.13489439328439357</v>
      </c>
      <c r="F81" t="s">
        <v>170</v>
      </c>
    </row>
    <row r="82" spans="1:6">
      <c r="A82" t="s">
        <v>145</v>
      </c>
    </row>
    <row r="83" spans="1:6">
      <c r="B83" t="s">
        <v>171</v>
      </c>
    </row>
    <row r="84" spans="1:6">
      <c r="B84" s="13">
        <f>NPV(E81,B51:B54)+B50</f>
        <v>89.471878746291623</v>
      </c>
      <c r="C84" s="13"/>
    </row>
    <row r="86" spans="1:6">
      <c r="A86" t="s">
        <v>150</v>
      </c>
      <c r="B86" t="s">
        <v>163</v>
      </c>
    </row>
    <row r="88" spans="1:6">
      <c r="B88" s="64" t="s">
        <v>164</v>
      </c>
      <c r="C88" s="64" t="s">
        <v>157</v>
      </c>
      <c r="D88" s="64" t="s">
        <v>158</v>
      </c>
    </row>
    <row r="89" spans="1:6">
      <c r="B89" s="65">
        <v>0</v>
      </c>
      <c r="C89" s="68">
        <f>NPV(B89,$B$51:$B$54)+$B$50</f>
        <v>1500</v>
      </c>
      <c r="D89" s="69">
        <f>NPV(B89,$C$51:$C$54)+$C$50</f>
        <v>2500</v>
      </c>
    </row>
    <row r="90" spans="1:6">
      <c r="B90" s="65">
        <v>0.05</v>
      </c>
      <c r="C90" s="68">
        <f t="shared" ref="C90:C93" si="2">NPV(B90,$B$51:$B$54)+$B$50</f>
        <v>903.19877005980015</v>
      </c>
      <c r="D90" s="69">
        <f t="shared" ref="D90:D93" si="3">NPV(B90,$C$51:$C$54)+$C$50</f>
        <v>1444.9483497102538</v>
      </c>
    </row>
    <row r="91" spans="1:6">
      <c r="B91" s="65">
        <v>0.1</v>
      </c>
      <c r="C91" s="68">
        <f t="shared" si="2"/>
        <v>397.8553377501521</v>
      </c>
      <c r="D91" s="69">
        <f t="shared" si="3"/>
        <v>591.14814561846742</v>
      </c>
    </row>
    <row r="92" spans="1:6">
      <c r="B92" s="65">
        <v>0.13</v>
      </c>
      <c r="C92" s="68">
        <f t="shared" si="2"/>
        <v>130.77362840604474</v>
      </c>
      <c r="D92" s="69">
        <f t="shared" si="3"/>
        <v>155.77004647134618</v>
      </c>
    </row>
    <row r="93" spans="1:6">
      <c r="A93" t="s">
        <v>153</v>
      </c>
      <c r="B93" s="71">
        <f>E81</f>
        <v>0.13489439328439357</v>
      </c>
      <c r="C93" s="68">
        <f t="shared" si="2"/>
        <v>89.471878746291623</v>
      </c>
      <c r="D93" s="69">
        <f t="shared" si="3"/>
        <v>89.471878750647193</v>
      </c>
    </row>
    <row r="94" spans="1:6">
      <c r="B94" s="66">
        <v>0.13500000000000001</v>
      </c>
      <c r="C94" s="68">
        <f>NPV(B94,$B$51:$B$54)+$B$50</f>
        <v>88.587391821522033</v>
      </c>
      <c r="D94" s="69">
        <f>NPV(B94,$C$51:$C$54)+$C$50</f>
        <v>88.055160780603728</v>
      </c>
    </row>
    <row r="95" spans="1:6">
      <c r="B95" s="65">
        <v>0.14000000000000001</v>
      </c>
      <c r="C95" s="68">
        <f>NPV(B95,$B$51:$B$54)+$B$50</f>
        <v>47.029646927846443</v>
      </c>
      <c r="D95" s="69">
        <f>NPV(B95,$C$51:$C$54)+$C$50</f>
        <v>21.636507991992403</v>
      </c>
    </row>
    <row r="96" spans="1:6">
      <c r="A96" t="s">
        <v>172</v>
      </c>
      <c r="B96" s="66">
        <v>0.14499999999999999</v>
      </c>
      <c r="C96" s="68">
        <f>NPV(B96,$B$51:$B$54)+$B$50</f>
        <v>6.0875050896775065</v>
      </c>
      <c r="D96" s="69">
        <f>NPV(B96,$C$51:$C$54)+$C$50</f>
        <v>-43.517112754811933</v>
      </c>
    </row>
    <row r="97" spans="1:4">
      <c r="B97" s="65">
        <v>0.15</v>
      </c>
      <c r="C97" s="68">
        <f>NPV(B97,$B$51:$B$54)+$B$50</f>
        <v>-34.251592868807165</v>
      </c>
      <c r="D97" s="69">
        <f>NPV(B97,$C$51:$C$54)+$C$50</f>
        <v>-107.43600830471496</v>
      </c>
    </row>
    <row r="99" spans="1:4">
      <c r="A99" t="s">
        <v>114</v>
      </c>
      <c r="B99" t="s">
        <v>173</v>
      </c>
    </row>
    <row r="100" spans="1:4">
      <c r="A100" t="s">
        <v>174</v>
      </c>
      <c r="B100" t="s">
        <v>175</v>
      </c>
    </row>
    <row r="103" spans="1:4">
      <c r="A103" t="s">
        <v>176</v>
      </c>
      <c r="B103" t="s">
        <v>177</v>
      </c>
      <c r="C103" t="s">
        <v>182</v>
      </c>
    </row>
    <row r="104" spans="1:4">
      <c r="B104" t="s">
        <v>178</v>
      </c>
      <c r="C104" t="s">
        <v>181</v>
      </c>
    </row>
    <row r="105" spans="1:4">
      <c r="B105" t="s">
        <v>179</v>
      </c>
      <c r="C105" t="s">
        <v>180</v>
      </c>
    </row>
  </sheetData>
  <mergeCells count="1">
    <mergeCell ref="A1:F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-0.499984740745262"/>
  </sheetPr>
  <dimension ref="A1:I93"/>
  <sheetViews>
    <sheetView topLeftCell="A78" workbookViewId="0">
      <selection activeCell="G45" sqref="G45"/>
    </sheetView>
  </sheetViews>
  <sheetFormatPr baseColWidth="10" defaultRowHeight="15" x14ac:dyDescent="0"/>
  <cols>
    <col min="1" max="2" width="14.83203125" customWidth="1"/>
    <col min="3" max="3" width="14.33203125" customWidth="1"/>
    <col min="5" max="5" width="14.6640625" customWidth="1"/>
    <col min="7" max="7" width="19.33203125" customWidth="1"/>
  </cols>
  <sheetData>
    <row r="1" spans="1:9">
      <c r="A1" s="73" t="s">
        <v>185</v>
      </c>
      <c r="B1" s="24"/>
    </row>
    <row r="2" spans="1:9">
      <c r="A2" s="24"/>
      <c r="B2" s="24"/>
    </row>
    <row r="3" spans="1:9">
      <c r="A3" s="73" t="s">
        <v>183</v>
      </c>
      <c r="B3" s="73"/>
    </row>
    <row r="4" spans="1:9">
      <c r="A4" s="24" t="s">
        <v>184</v>
      </c>
      <c r="B4" s="24"/>
    </row>
    <row r="5" spans="1:9">
      <c r="A5" s="24"/>
      <c r="B5" s="24"/>
    </row>
    <row r="6" spans="1:9">
      <c r="A6" s="24" t="s">
        <v>186</v>
      </c>
    </row>
    <row r="7" spans="1:9">
      <c r="A7" s="24" t="s">
        <v>187</v>
      </c>
      <c r="B7" t="s">
        <v>188</v>
      </c>
      <c r="C7" t="s">
        <v>189</v>
      </c>
      <c r="D7" t="s">
        <v>190</v>
      </c>
      <c r="E7" t="s">
        <v>191</v>
      </c>
    </row>
    <row r="8" spans="1:9">
      <c r="A8" s="24" t="s">
        <v>187</v>
      </c>
      <c r="B8" t="s">
        <v>188</v>
      </c>
      <c r="C8" t="s">
        <v>192</v>
      </c>
      <c r="D8" t="s">
        <v>190</v>
      </c>
      <c r="E8" t="s">
        <v>193</v>
      </c>
      <c r="F8" t="s">
        <v>190</v>
      </c>
      <c r="G8" t="s">
        <v>191</v>
      </c>
    </row>
    <row r="10" spans="1:9">
      <c r="A10" s="100" t="s">
        <v>194</v>
      </c>
      <c r="B10" s="5" t="s">
        <v>188</v>
      </c>
      <c r="C10" s="5" t="s">
        <v>195</v>
      </c>
      <c r="D10" s="5" t="s">
        <v>190</v>
      </c>
      <c r="E10" s="5" t="s">
        <v>196</v>
      </c>
      <c r="F10" s="5" t="s">
        <v>190</v>
      </c>
      <c r="G10" s="6" t="s">
        <v>197</v>
      </c>
    </row>
    <row r="11" spans="1:9">
      <c r="A11" s="15"/>
      <c r="B11" s="8"/>
      <c r="C11" s="8"/>
      <c r="D11" s="8"/>
      <c r="E11" s="8"/>
      <c r="F11" s="8"/>
      <c r="G11" s="9"/>
    </row>
    <row r="12" spans="1:9">
      <c r="A12" s="15">
        <v>1000</v>
      </c>
      <c r="B12" s="8" t="s">
        <v>188</v>
      </c>
      <c r="C12" s="8">
        <v>100</v>
      </c>
      <c r="D12" s="8" t="s">
        <v>190</v>
      </c>
      <c r="E12" s="8">
        <v>300</v>
      </c>
      <c r="F12" s="8" t="s">
        <v>190</v>
      </c>
      <c r="G12" s="9">
        <v>600</v>
      </c>
    </row>
    <row r="13" spans="1:9">
      <c r="A13" s="16">
        <v>1</v>
      </c>
      <c r="B13" s="3" t="s">
        <v>188</v>
      </c>
      <c r="C13" s="3">
        <v>0.1</v>
      </c>
      <c r="D13" s="3" t="s">
        <v>190</v>
      </c>
      <c r="E13" s="3">
        <v>0.3</v>
      </c>
      <c r="F13" s="3" t="s">
        <v>190</v>
      </c>
      <c r="G13" s="17">
        <v>0.6</v>
      </c>
    </row>
    <row r="15" spans="1:9">
      <c r="A15" t="s">
        <v>199</v>
      </c>
    </row>
    <row r="16" spans="1:9">
      <c r="A16" t="s">
        <v>200</v>
      </c>
      <c r="I16" t="s">
        <v>203</v>
      </c>
    </row>
    <row r="17" spans="1:6">
      <c r="A17" t="s">
        <v>201</v>
      </c>
    </row>
    <row r="18" spans="1:6">
      <c r="C18" t="s">
        <v>202</v>
      </c>
      <c r="E18" t="s">
        <v>188</v>
      </c>
      <c r="F18" t="s">
        <v>204</v>
      </c>
    </row>
    <row r="19" spans="1:6">
      <c r="A19" s="2" t="s">
        <v>198</v>
      </c>
      <c r="B19" s="2" t="s">
        <v>188</v>
      </c>
      <c r="C19" s="2" t="s">
        <v>205</v>
      </c>
      <c r="D19" s="2"/>
      <c r="E19" s="2"/>
    </row>
    <row r="20" spans="1:6">
      <c r="A20" s="2"/>
      <c r="B20" s="2"/>
      <c r="C20" s="75" t="s">
        <v>206</v>
      </c>
      <c r="D20" s="2"/>
      <c r="E20" s="2"/>
    </row>
    <row r="21" spans="1:6">
      <c r="A21" s="2"/>
      <c r="B21" s="2"/>
      <c r="C21" s="75" t="s">
        <v>207</v>
      </c>
      <c r="D21" s="2"/>
      <c r="E21" s="2"/>
    </row>
    <row r="22" spans="1:6">
      <c r="A22" t="s">
        <v>208</v>
      </c>
    </row>
    <row r="23" spans="1:6">
      <c r="A23" s="2" t="s">
        <v>209</v>
      </c>
      <c r="B23" t="s">
        <v>210</v>
      </c>
    </row>
    <row r="24" spans="1:6">
      <c r="A24" s="2"/>
      <c r="B24" t="s">
        <v>212</v>
      </c>
    </row>
    <row r="26" spans="1:6">
      <c r="A26" s="2" t="s">
        <v>213</v>
      </c>
    </row>
    <row r="27" spans="1:6">
      <c r="A27" s="2" t="s">
        <v>214</v>
      </c>
      <c r="B27" t="s">
        <v>215</v>
      </c>
    </row>
    <row r="28" spans="1:6">
      <c r="A28" t="s">
        <v>188</v>
      </c>
      <c r="B28" s="2" t="s">
        <v>216</v>
      </c>
      <c r="C28" t="s">
        <v>217</v>
      </c>
    </row>
    <row r="29" spans="1:6">
      <c r="A29" s="2" t="s">
        <v>218</v>
      </c>
      <c r="B29" t="s">
        <v>219</v>
      </c>
    </row>
    <row r="30" spans="1:6">
      <c r="A30" s="2" t="s">
        <v>188</v>
      </c>
      <c r="B30" s="2" t="s">
        <v>220</v>
      </c>
      <c r="C30" t="s">
        <v>221</v>
      </c>
    </row>
    <row r="33" spans="1:4">
      <c r="A33" s="2" t="s">
        <v>222</v>
      </c>
    </row>
    <row r="34" spans="1:4">
      <c r="A34" s="4"/>
      <c r="B34" s="49" t="s">
        <v>226</v>
      </c>
      <c r="C34" s="49" t="s">
        <v>231</v>
      </c>
      <c r="D34" s="32" t="s">
        <v>227</v>
      </c>
    </row>
    <row r="35" spans="1:4">
      <c r="A35" s="7" t="s">
        <v>223</v>
      </c>
      <c r="B35" s="27">
        <v>100</v>
      </c>
      <c r="C35" s="27">
        <v>0.1</v>
      </c>
      <c r="D35" s="77">
        <v>0.1</v>
      </c>
    </row>
    <row r="36" spans="1:4">
      <c r="A36" s="7" t="s">
        <v>224</v>
      </c>
      <c r="B36" s="27">
        <v>300</v>
      </c>
      <c r="C36" s="27">
        <v>0.3</v>
      </c>
      <c r="D36" s="77">
        <v>0.13</v>
      </c>
    </row>
    <row r="37" spans="1:4">
      <c r="A37" s="7" t="s">
        <v>225</v>
      </c>
      <c r="B37" s="27">
        <v>600</v>
      </c>
      <c r="C37" s="27">
        <v>0.6</v>
      </c>
      <c r="D37" s="77">
        <v>0.15</v>
      </c>
    </row>
    <row r="38" spans="1:4">
      <c r="A38" s="10" t="s">
        <v>228</v>
      </c>
      <c r="B38" s="78">
        <v>1000</v>
      </c>
      <c r="C38" s="11"/>
      <c r="D38" s="12"/>
    </row>
    <row r="40" spans="1:4">
      <c r="A40" t="s">
        <v>229</v>
      </c>
    </row>
    <row r="41" spans="1:4">
      <c r="A41" t="s">
        <v>230</v>
      </c>
    </row>
    <row r="43" spans="1:4">
      <c r="A43" t="s">
        <v>232</v>
      </c>
    </row>
    <row r="44" spans="1:4">
      <c r="A44" t="s">
        <v>233</v>
      </c>
    </row>
    <row r="45" spans="1:4">
      <c r="A45" t="s">
        <v>234</v>
      </c>
    </row>
    <row r="47" spans="1:4">
      <c r="A47" t="s">
        <v>235</v>
      </c>
      <c r="B47" s="74" t="s">
        <v>236</v>
      </c>
    </row>
    <row r="48" spans="1:4">
      <c r="A48" t="s">
        <v>198</v>
      </c>
      <c r="B48" t="s">
        <v>237</v>
      </c>
    </row>
    <row r="49" spans="1:4">
      <c r="B49" s="76">
        <f>0.006+0.0234+0.09</f>
        <v>0.11940000000000001</v>
      </c>
    </row>
    <row r="52" spans="1:4">
      <c r="A52" t="s">
        <v>238</v>
      </c>
    </row>
    <row r="53" spans="1:4">
      <c r="D53" t="s">
        <v>240</v>
      </c>
    </row>
    <row r="54" spans="1:4">
      <c r="A54" t="s">
        <v>223</v>
      </c>
      <c r="B54">
        <v>1000000</v>
      </c>
      <c r="C54">
        <v>0.1</v>
      </c>
      <c r="D54" s="1">
        <v>0.1</v>
      </c>
    </row>
    <row r="55" spans="1:4">
      <c r="A55" t="s">
        <v>224</v>
      </c>
      <c r="B55">
        <v>2000000</v>
      </c>
      <c r="C55">
        <v>0.2</v>
      </c>
      <c r="D55" s="1">
        <v>0.08</v>
      </c>
    </row>
    <row r="56" spans="1:4">
      <c r="A56" t="s">
        <v>239</v>
      </c>
      <c r="B56">
        <v>7000000</v>
      </c>
      <c r="C56">
        <v>0.7</v>
      </c>
      <c r="D56" s="1">
        <v>0.15</v>
      </c>
    </row>
    <row r="57" spans="1:4">
      <c r="B57">
        <f>SUM(B54:B56)</f>
        <v>10000000</v>
      </c>
    </row>
    <row r="58" spans="1:4">
      <c r="A58" t="s">
        <v>241</v>
      </c>
    </row>
    <row r="60" spans="1:4">
      <c r="A60" t="s">
        <v>242</v>
      </c>
    </row>
    <row r="61" spans="1:4">
      <c r="A61" t="s">
        <v>198</v>
      </c>
      <c r="B61" t="s">
        <v>243</v>
      </c>
    </row>
    <row r="62" spans="1:4">
      <c r="B62">
        <f>(0.1*0.1)*(1-0.3)</f>
        <v>7.000000000000001E-3</v>
      </c>
      <c r="C62">
        <f>(0.2*0.08)*(1-0.3)</f>
        <v>1.12E-2</v>
      </c>
      <c r="D62">
        <f>(0.7*0.15)</f>
        <v>0.105</v>
      </c>
    </row>
    <row r="63" spans="1:4">
      <c r="A63" t="s">
        <v>198</v>
      </c>
      <c r="B63">
        <f>B62+C62+D62</f>
        <v>0.1232</v>
      </c>
      <c r="C63" s="79">
        <f>0.1232</f>
        <v>0.1232</v>
      </c>
    </row>
    <row r="66" spans="1:6">
      <c r="A66" t="s">
        <v>244</v>
      </c>
    </row>
    <row r="67" spans="1:6">
      <c r="A67" t="s">
        <v>245</v>
      </c>
    </row>
    <row r="68" spans="1:6">
      <c r="A68" t="s">
        <v>251</v>
      </c>
    </row>
    <row r="69" spans="1:6">
      <c r="A69" t="s">
        <v>246</v>
      </c>
    </row>
    <row r="70" spans="1:6">
      <c r="A70" t="s">
        <v>247</v>
      </c>
      <c r="B70">
        <v>25</v>
      </c>
    </row>
    <row r="71" spans="1:6">
      <c r="A71" t="s">
        <v>248</v>
      </c>
      <c r="B71">
        <v>2.5</v>
      </c>
    </row>
    <row r="72" spans="1:6">
      <c r="A72" t="s">
        <v>249</v>
      </c>
      <c r="B72" s="1">
        <v>0.05</v>
      </c>
    </row>
    <row r="73" spans="1:6">
      <c r="A73" t="s">
        <v>250</v>
      </c>
      <c r="E73" t="s">
        <v>188</v>
      </c>
    </row>
    <row r="74" spans="1:6">
      <c r="C74" t="s">
        <v>231</v>
      </c>
      <c r="D74" t="s">
        <v>240</v>
      </c>
    </row>
    <row r="75" spans="1:6">
      <c r="A75" t="s">
        <v>223</v>
      </c>
      <c r="B75">
        <v>1000000</v>
      </c>
      <c r="C75">
        <f>B75/B78</f>
        <v>6.25E-2</v>
      </c>
      <c r="D75" s="1">
        <v>0.09</v>
      </c>
    </row>
    <row r="76" spans="1:6">
      <c r="A76" t="s">
        <v>224</v>
      </c>
      <c r="B76">
        <v>5000000</v>
      </c>
      <c r="C76">
        <f>B76/B78</f>
        <v>0.3125</v>
      </c>
      <c r="D76" s="80">
        <v>7.4999999999999997E-2</v>
      </c>
      <c r="E76" t="s">
        <v>211</v>
      </c>
    </row>
    <row r="77" spans="1:6">
      <c r="A77" t="s">
        <v>191</v>
      </c>
      <c r="B77">
        <v>10000000</v>
      </c>
      <c r="C77">
        <f>B77/B78</f>
        <v>0.625</v>
      </c>
      <c r="D77" s="18">
        <f>B71/B70+B72</f>
        <v>0.15000000000000002</v>
      </c>
    </row>
    <row r="78" spans="1:6">
      <c r="B78">
        <f>SUM(B75:B77)</f>
        <v>16000000</v>
      </c>
    </row>
    <row r="80" spans="1:6">
      <c r="A80" t="s">
        <v>198</v>
      </c>
      <c r="B80">
        <f>(C75*D75)*(1-0.3)</f>
        <v>3.9375E-3</v>
      </c>
      <c r="C80" t="s">
        <v>190</v>
      </c>
      <c r="D80">
        <f>(C76*D76)*(1-0.3)</f>
        <v>1.6406249999999997E-2</v>
      </c>
      <c r="E80" t="s">
        <v>190</v>
      </c>
      <c r="F80">
        <f>C77*D77</f>
        <v>9.3750000000000014E-2</v>
      </c>
    </row>
    <row r="81" spans="1:3">
      <c r="B81">
        <f>B80+D80+F80</f>
        <v>0.11409375000000001</v>
      </c>
    </row>
    <row r="83" spans="1:3">
      <c r="A83" t="s">
        <v>252</v>
      </c>
    </row>
    <row r="84" spans="1:3">
      <c r="A84" t="s">
        <v>50</v>
      </c>
    </row>
    <row r="85" spans="1:3">
      <c r="A85">
        <v>0</v>
      </c>
      <c r="B85">
        <v>-500000</v>
      </c>
    </row>
    <row r="86" spans="1:3">
      <c r="A86">
        <v>1</v>
      </c>
      <c r="B86">
        <v>45000</v>
      </c>
    </row>
    <row r="87" spans="1:3">
      <c r="A87">
        <v>2</v>
      </c>
      <c r="B87">
        <v>-75000</v>
      </c>
    </row>
    <row r="88" spans="1:3">
      <c r="A88">
        <v>3</v>
      </c>
      <c r="B88">
        <v>150000</v>
      </c>
    </row>
    <row r="89" spans="1:3">
      <c r="A89">
        <v>4</v>
      </c>
      <c r="B89">
        <v>185000</v>
      </c>
    </row>
    <row r="90" spans="1:3">
      <c r="A90">
        <v>5</v>
      </c>
      <c r="B90">
        <v>125000</v>
      </c>
    </row>
    <row r="91" spans="1:3">
      <c r="A91" t="s">
        <v>253</v>
      </c>
      <c r="B91" s="13">
        <f>NPV(B81,B86:B90)+B85</f>
        <v>-218647.09463612363</v>
      </c>
      <c r="C91" t="s">
        <v>28</v>
      </c>
    </row>
    <row r="93" spans="1:3">
      <c r="A93" s="2" t="s">
        <v>254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6" workbookViewId="0">
      <selection activeCell="J24" sqref="J24"/>
    </sheetView>
  </sheetViews>
  <sheetFormatPr baseColWidth="10" defaultRowHeight="15" x14ac:dyDescent="0"/>
  <sheetData>
    <row r="1" spans="1:6">
      <c r="A1" s="81" t="s">
        <v>255</v>
      </c>
    </row>
    <row r="2" spans="1:6" ht="18" customHeight="1">
      <c r="A2" s="2" t="s">
        <v>256</v>
      </c>
    </row>
    <row r="3" spans="1:6" ht="18" customHeight="1">
      <c r="A3" s="2"/>
    </row>
    <row r="4" spans="1:6" ht="95" customHeight="1">
      <c r="A4" s="123" t="s">
        <v>257</v>
      </c>
      <c r="B4" s="123"/>
      <c r="C4" s="123"/>
      <c r="D4" s="123"/>
      <c r="E4" s="123"/>
      <c r="F4" s="123"/>
    </row>
    <row r="6" spans="1:6">
      <c r="A6" t="s">
        <v>258</v>
      </c>
    </row>
    <row r="7" spans="1:6">
      <c r="A7" t="s">
        <v>259</v>
      </c>
    </row>
    <row r="8" spans="1:6">
      <c r="A8" t="s">
        <v>260</v>
      </c>
    </row>
    <row r="9" spans="1:6">
      <c r="A9" t="s">
        <v>261</v>
      </c>
    </row>
    <row r="12" spans="1:6">
      <c r="A12" t="s">
        <v>262</v>
      </c>
    </row>
    <row r="13" spans="1:6">
      <c r="A13" t="s">
        <v>263</v>
      </c>
      <c r="C13" t="s">
        <v>264</v>
      </c>
    </row>
    <row r="14" spans="1:6">
      <c r="B14">
        <f>14*6500000</f>
        <v>91000000</v>
      </c>
    </row>
    <row r="15" spans="1:6">
      <c r="A15" t="s">
        <v>265</v>
      </c>
    </row>
    <row r="16" spans="1:6">
      <c r="B16">
        <v>10000000</v>
      </c>
    </row>
    <row r="17" spans="1:8">
      <c r="A17" t="s">
        <v>266</v>
      </c>
    </row>
    <row r="18" spans="1:8">
      <c r="A18" t="s">
        <v>267</v>
      </c>
      <c r="B18">
        <v>1000</v>
      </c>
    </row>
    <row r="19" spans="1:8">
      <c r="A19" t="s">
        <v>268</v>
      </c>
      <c r="B19">
        <v>900</v>
      </c>
      <c r="C19" t="s">
        <v>269</v>
      </c>
    </row>
    <row r="20" spans="1:8">
      <c r="B20">
        <f>900*25000</f>
        <v>22500000</v>
      </c>
    </row>
    <row r="22" spans="1:8">
      <c r="A22" t="s">
        <v>270</v>
      </c>
    </row>
    <row r="23" spans="1:8">
      <c r="A23" s="14"/>
      <c r="B23" s="5" t="s">
        <v>271</v>
      </c>
      <c r="C23" s="5" t="s">
        <v>231</v>
      </c>
      <c r="D23" s="5" t="s">
        <v>240</v>
      </c>
      <c r="E23" s="5" t="s">
        <v>272</v>
      </c>
      <c r="F23" s="49"/>
      <c r="G23" s="49"/>
      <c r="H23" s="32"/>
    </row>
    <row r="24" spans="1:8">
      <c r="A24" s="15" t="s">
        <v>273</v>
      </c>
      <c r="B24" s="27">
        <f>B14</f>
        <v>91000000</v>
      </c>
      <c r="C24" s="27">
        <f>B24/B27</f>
        <v>0.73684210526315785</v>
      </c>
      <c r="D24" s="82">
        <v>0.14000000000000001</v>
      </c>
      <c r="E24" s="27"/>
      <c r="F24" s="27">
        <f>(C24*D24)</f>
        <v>0.10315789473684212</v>
      </c>
      <c r="G24" s="27"/>
      <c r="H24" s="28"/>
    </row>
    <row r="25" spans="1:8">
      <c r="A25" s="15" t="s">
        <v>274</v>
      </c>
      <c r="B25" s="27">
        <f>B16</f>
        <v>10000000</v>
      </c>
      <c r="C25" s="27">
        <f>B25/B27</f>
        <v>8.0971659919028341E-2</v>
      </c>
      <c r="D25" s="82">
        <v>0.1</v>
      </c>
      <c r="E25" s="27"/>
      <c r="F25" s="27">
        <f>(C25*D25)</f>
        <v>8.0971659919028341E-3</v>
      </c>
      <c r="G25" s="27"/>
      <c r="H25" s="28"/>
    </row>
    <row r="26" spans="1:8">
      <c r="A26" s="15" t="s">
        <v>275</v>
      </c>
      <c r="B26" s="27">
        <f>B20</f>
        <v>22500000</v>
      </c>
      <c r="C26" s="27">
        <f>B26/B27</f>
        <v>0.18218623481781376</v>
      </c>
      <c r="D26" s="83">
        <v>7.2499999999999995E-2</v>
      </c>
      <c r="E26" s="82">
        <v>0.34</v>
      </c>
      <c r="F26" s="27">
        <f>(C26*D26)*(1-0.34)</f>
        <v>8.7176113360323861E-3</v>
      </c>
      <c r="G26" s="27" t="s">
        <v>276</v>
      </c>
      <c r="H26" s="28"/>
    </row>
    <row r="27" spans="1:8">
      <c r="A27" s="15" t="s">
        <v>277</v>
      </c>
      <c r="B27" s="27">
        <f>SUM(B24:B26)</f>
        <v>123500000</v>
      </c>
      <c r="C27" s="27"/>
      <c r="D27" s="27"/>
      <c r="E27" s="27"/>
      <c r="F27" s="27">
        <f>SUM(F24:F26)</f>
        <v>0.11997267206477732</v>
      </c>
      <c r="G27" s="99">
        <f>F27</f>
        <v>0.11997267206477732</v>
      </c>
      <c r="H27" s="28"/>
    </row>
    <row r="28" spans="1:8">
      <c r="A28" s="7"/>
      <c r="B28" s="27"/>
      <c r="C28" s="27"/>
      <c r="D28" s="27" t="s">
        <v>278</v>
      </c>
      <c r="E28" s="82">
        <v>0.34</v>
      </c>
      <c r="F28" s="27"/>
      <c r="G28" s="27"/>
      <c r="H28" s="28"/>
    </row>
    <row r="29" spans="1:8">
      <c r="A29" s="7"/>
      <c r="B29" s="27"/>
      <c r="C29" s="27"/>
      <c r="D29" s="27"/>
      <c r="E29" s="27"/>
      <c r="F29" s="27"/>
      <c r="G29" s="27"/>
      <c r="H29" s="28"/>
    </row>
    <row r="30" spans="1:8">
      <c r="A30" s="7"/>
      <c r="B30" s="27"/>
      <c r="C30" s="27"/>
      <c r="D30" s="27"/>
      <c r="E30" s="27"/>
      <c r="F30" s="27"/>
      <c r="G30" s="27"/>
      <c r="H30" s="28"/>
    </row>
    <row r="31" spans="1:8">
      <c r="A31" s="7"/>
      <c r="B31" s="27"/>
      <c r="C31" s="27"/>
      <c r="D31" s="27"/>
      <c r="E31" s="27"/>
      <c r="F31" s="27"/>
      <c r="G31" s="27"/>
      <c r="H31" s="28"/>
    </row>
    <row r="32" spans="1:8">
      <c r="A32" s="7"/>
      <c r="B32" s="27"/>
      <c r="C32" s="27"/>
      <c r="D32" s="27"/>
      <c r="E32" s="27"/>
      <c r="F32" s="27"/>
      <c r="G32" s="27"/>
      <c r="H32" s="28"/>
    </row>
    <row r="33" spans="1:8">
      <c r="A33" s="10"/>
      <c r="B33" s="11" t="s">
        <v>188</v>
      </c>
      <c r="C33" s="11"/>
      <c r="D33" s="11"/>
      <c r="E33" s="11"/>
      <c r="F33" s="11"/>
      <c r="G33" s="11"/>
      <c r="H33" s="12"/>
    </row>
  </sheetData>
  <mergeCells count="1">
    <mergeCell ref="A4:F4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43"/>
  <sheetViews>
    <sheetView topLeftCell="A15" workbookViewId="0">
      <selection activeCell="J26" sqref="J26"/>
    </sheetView>
  </sheetViews>
  <sheetFormatPr baseColWidth="10" defaultRowHeight="15" x14ac:dyDescent="0"/>
  <sheetData>
    <row r="1" spans="1:8">
      <c r="A1" s="81" t="s">
        <v>255</v>
      </c>
    </row>
    <row r="2" spans="1:8">
      <c r="A2" s="2" t="s">
        <v>279</v>
      </c>
    </row>
    <row r="4" spans="1:8">
      <c r="A4" s="122" t="s">
        <v>280</v>
      </c>
      <c r="B4" s="122"/>
      <c r="C4" s="122"/>
      <c r="D4" s="122"/>
      <c r="E4" s="122"/>
      <c r="F4" s="122"/>
      <c r="G4" s="122"/>
      <c r="H4" s="122"/>
    </row>
    <row r="5" spans="1:8">
      <c r="A5" s="122"/>
      <c r="B5" s="122"/>
      <c r="C5" s="122"/>
      <c r="D5" s="122"/>
      <c r="E5" s="122"/>
      <c r="F5" s="122"/>
      <c r="G5" s="122"/>
      <c r="H5" s="122"/>
    </row>
    <row r="6" spans="1:8">
      <c r="A6" s="122"/>
      <c r="B6" s="122"/>
      <c r="C6" s="122"/>
      <c r="D6" s="122"/>
      <c r="E6" s="122"/>
      <c r="F6" s="122"/>
      <c r="G6" s="122"/>
      <c r="H6" s="122"/>
    </row>
    <row r="7" spans="1:8">
      <c r="A7" s="122"/>
      <c r="B7" s="122"/>
      <c r="C7" s="122"/>
      <c r="D7" s="122"/>
      <c r="E7" s="122"/>
      <c r="F7" s="122"/>
      <c r="G7" s="122"/>
      <c r="H7" s="122"/>
    </row>
    <row r="8" spans="1:8">
      <c r="A8" s="122"/>
      <c r="B8" s="122"/>
      <c r="C8" s="122"/>
      <c r="D8" s="122"/>
      <c r="E8" s="122"/>
      <c r="F8" s="122"/>
      <c r="G8" s="122"/>
      <c r="H8" s="122"/>
    </row>
    <row r="9" spans="1:8">
      <c r="A9" s="122"/>
      <c r="B9" s="122"/>
      <c r="C9" s="122"/>
      <c r="D9" s="122"/>
      <c r="E9" s="122"/>
      <c r="F9" s="122"/>
      <c r="G9" s="122"/>
      <c r="H9" s="122"/>
    </row>
    <row r="10" spans="1:8">
      <c r="A10" s="122"/>
      <c r="B10" s="122"/>
      <c r="C10" s="122"/>
      <c r="D10" s="122"/>
      <c r="E10" s="122"/>
      <c r="F10" s="122"/>
      <c r="G10" s="122"/>
      <c r="H10" s="122"/>
    </row>
    <row r="12" spans="1:8">
      <c r="A12" t="s">
        <v>281</v>
      </c>
    </row>
    <row r="13" spans="1:8">
      <c r="A13" t="s">
        <v>282</v>
      </c>
      <c r="C13">
        <f>400000*66.25</f>
        <v>26500000</v>
      </c>
    </row>
    <row r="14" spans="1:8">
      <c r="A14" t="s">
        <v>283</v>
      </c>
      <c r="C14">
        <f>25000*65</f>
        <v>1625000</v>
      </c>
    </row>
    <row r="15" spans="1:8">
      <c r="A15" t="s">
        <v>275</v>
      </c>
      <c r="C15">
        <v>10200000</v>
      </c>
      <c r="D15">
        <v>10000</v>
      </c>
    </row>
    <row r="16" spans="1:8">
      <c r="D16">
        <f>102%*1000</f>
        <v>1020</v>
      </c>
    </row>
    <row r="17" spans="1:10">
      <c r="B17" t="s">
        <v>188</v>
      </c>
      <c r="D17">
        <f>D15*D16</f>
        <v>10200000</v>
      </c>
    </row>
    <row r="18" spans="1:10">
      <c r="B18" t="s">
        <v>277</v>
      </c>
      <c r="C18">
        <f>SUM(C13:C15)</f>
        <v>38325000</v>
      </c>
    </row>
    <row r="24" spans="1:10">
      <c r="A24" t="s">
        <v>284</v>
      </c>
    </row>
    <row r="25" spans="1:10">
      <c r="A25" t="s">
        <v>275</v>
      </c>
      <c r="C25" s="18">
        <f>RATE(40,35,-D16,1000,0,0)</f>
        <v>3.4076820766284856E-2</v>
      </c>
      <c r="D25" t="s">
        <v>285</v>
      </c>
      <c r="F25" t="s">
        <v>216</v>
      </c>
      <c r="H25" t="s">
        <v>283</v>
      </c>
      <c r="J25" t="s">
        <v>286</v>
      </c>
    </row>
    <row r="26" spans="1:10">
      <c r="A26" t="s">
        <v>146</v>
      </c>
      <c r="B26">
        <v>1020</v>
      </c>
      <c r="C26" s="84">
        <f>C25*2</f>
        <v>6.8153641532569711E-2</v>
      </c>
      <c r="F26" s="18">
        <f>(5.3/66.25)+4%</f>
        <v>0.12</v>
      </c>
      <c r="J26" s="84">
        <f>5/65</f>
        <v>7.6923076923076927E-2</v>
      </c>
    </row>
    <row r="27" spans="1:10">
      <c r="A27" t="s">
        <v>267</v>
      </c>
      <c r="B27">
        <v>1000</v>
      </c>
    </row>
    <row r="28" spans="1:10">
      <c r="A28" t="s">
        <v>287</v>
      </c>
      <c r="B28">
        <v>40</v>
      </c>
    </row>
    <row r="29" spans="1:10">
      <c r="A29" t="s">
        <v>288</v>
      </c>
      <c r="B29">
        <v>35</v>
      </c>
    </row>
    <row r="30" spans="1:10">
      <c r="A30" t="s">
        <v>74</v>
      </c>
      <c r="B30" t="s">
        <v>289</v>
      </c>
    </row>
    <row r="34" spans="1:7">
      <c r="A34" t="s">
        <v>290</v>
      </c>
    </row>
    <row r="35" spans="1:7">
      <c r="A35" t="s">
        <v>273</v>
      </c>
      <c r="B35">
        <f>C13/C18</f>
        <v>0.69145466405740375</v>
      </c>
    </row>
    <row r="36" spans="1:7">
      <c r="A36" t="s">
        <v>274</v>
      </c>
      <c r="B36">
        <f>C14/C18</f>
        <v>4.2400521852576645E-2</v>
      </c>
    </row>
    <row r="37" spans="1:7">
      <c r="A37" t="s">
        <v>275</v>
      </c>
      <c r="B37">
        <f>D17/C18</f>
        <v>0.26614481409001955</v>
      </c>
    </row>
    <row r="39" spans="1:7">
      <c r="A39" s="14"/>
      <c r="B39" s="5" t="s">
        <v>271</v>
      </c>
      <c r="C39" s="5" t="s">
        <v>231</v>
      </c>
      <c r="D39" s="5" t="s">
        <v>240</v>
      </c>
      <c r="E39" s="5" t="s">
        <v>291</v>
      </c>
      <c r="F39" s="49"/>
      <c r="G39" s="32"/>
    </row>
    <row r="40" spans="1:7">
      <c r="A40" s="37" t="s">
        <v>273</v>
      </c>
      <c r="B40" s="27">
        <f>C13</f>
        <v>26500000</v>
      </c>
      <c r="C40" s="27">
        <f>B35</f>
        <v>0.69145466405740375</v>
      </c>
      <c r="D40" s="83">
        <f>F26</f>
        <v>0.12</v>
      </c>
      <c r="E40" s="27"/>
      <c r="F40" s="27">
        <f>C40*D40</f>
        <v>8.2974559686888452E-2</v>
      </c>
      <c r="G40" s="28"/>
    </row>
    <row r="41" spans="1:7">
      <c r="A41" s="50" t="s">
        <v>274</v>
      </c>
      <c r="B41" s="27">
        <f>C14</f>
        <v>1625000</v>
      </c>
      <c r="C41" s="27">
        <f>B36</f>
        <v>4.2400521852576645E-2</v>
      </c>
      <c r="D41" s="82">
        <f>J26</f>
        <v>7.6923076923076927E-2</v>
      </c>
      <c r="E41" s="27"/>
      <c r="F41" s="27">
        <f>C41*D41</f>
        <v>3.2615786040443573E-3</v>
      </c>
      <c r="G41" s="28"/>
    </row>
    <row r="42" spans="1:7">
      <c r="A42" s="50" t="s">
        <v>275</v>
      </c>
      <c r="B42" s="27">
        <f>C15</f>
        <v>10200000</v>
      </c>
      <c r="C42" s="27">
        <f>B37</f>
        <v>0.26614481409001955</v>
      </c>
      <c r="D42" s="82">
        <f>C26</f>
        <v>6.8153641532569711E-2</v>
      </c>
      <c r="E42" s="27">
        <f>35%</f>
        <v>0.35</v>
      </c>
      <c r="F42" s="27">
        <f>(C42*D42)*(1-E42)</f>
        <v>1.1790179865908341E-2</v>
      </c>
      <c r="G42" s="28"/>
    </row>
    <row r="43" spans="1:7">
      <c r="A43" s="51" t="s">
        <v>277</v>
      </c>
      <c r="B43" s="11">
        <f>C18</f>
        <v>38325000</v>
      </c>
      <c r="C43" s="11"/>
      <c r="D43" s="11"/>
      <c r="E43" s="11"/>
      <c r="F43" s="11">
        <f>SUM(F40:F42)</f>
        <v>9.8026318156841152E-2</v>
      </c>
      <c r="G43" s="85">
        <f>F43</f>
        <v>9.8026318156841152E-2</v>
      </c>
    </row>
  </sheetData>
  <mergeCells count="1">
    <mergeCell ref="A4:H10"/>
  </mergeCells>
  <pageMargins left="0.75" right="0.75" top="1" bottom="1" header="0.5" footer="0.5"/>
  <pageSetup scale="96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37"/>
  <sheetViews>
    <sheetView workbookViewId="0">
      <selection sqref="A1:G23"/>
    </sheetView>
  </sheetViews>
  <sheetFormatPr baseColWidth="10" defaultRowHeight="15" x14ac:dyDescent="0"/>
  <sheetData>
    <row r="1" spans="1:8">
      <c r="A1" s="81" t="s">
        <v>255</v>
      </c>
    </row>
    <row r="2" spans="1:8">
      <c r="A2" s="2" t="s">
        <v>292</v>
      </c>
    </row>
    <row r="4" spans="1:8" ht="15" customHeight="1">
      <c r="A4" s="86" t="s">
        <v>293</v>
      </c>
      <c r="B4" s="87"/>
      <c r="C4" s="87"/>
      <c r="D4" s="87"/>
      <c r="E4" s="87"/>
      <c r="F4" s="87"/>
      <c r="G4" s="87"/>
      <c r="H4" s="87"/>
    </row>
    <row r="5" spans="1:8" ht="15" customHeight="1">
      <c r="A5" s="86"/>
      <c r="B5" s="87"/>
      <c r="C5" s="87"/>
      <c r="D5" s="87"/>
      <c r="E5" s="87"/>
      <c r="F5" s="87"/>
      <c r="G5" s="87"/>
      <c r="H5" s="87"/>
    </row>
    <row r="6" spans="1:8" ht="17" customHeight="1">
      <c r="A6" s="122" t="s">
        <v>294</v>
      </c>
      <c r="B6" s="122"/>
      <c r="C6" s="122"/>
      <c r="D6" s="122"/>
      <c r="E6" s="122"/>
      <c r="F6" s="87"/>
      <c r="G6" s="87"/>
      <c r="H6" s="87"/>
    </row>
    <row r="7" spans="1:8">
      <c r="A7" s="122"/>
      <c r="B7" s="122"/>
      <c r="C7" s="122"/>
      <c r="D7" s="122"/>
      <c r="E7" s="122"/>
      <c r="F7" s="87"/>
      <c r="G7" s="87"/>
      <c r="H7" s="87"/>
    </row>
    <row r="8" spans="1:8">
      <c r="A8" s="122"/>
      <c r="B8" s="122"/>
      <c r="C8" s="122"/>
      <c r="D8" s="122"/>
      <c r="E8" s="122"/>
      <c r="F8" s="87"/>
      <c r="G8" s="87"/>
      <c r="H8" s="87"/>
    </row>
    <row r="9" spans="1:8">
      <c r="A9" s="72"/>
      <c r="B9" s="72"/>
      <c r="C9" s="72"/>
      <c r="D9" s="72"/>
      <c r="E9" s="72"/>
      <c r="F9" s="87"/>
      <c r="G9" s="87"/>
      <c r="H9" s="87"/>
    </row>
    <row r="10" spans="1:8" ht="16" customHeight="1">
      <c r="A10" s="122" t="s">
        <v>295</v>
      </c>
      <c r="B10" s="122"/>
      <c r="C10" s="122"/>
      <c r="D10" s="122"/>
      <c r="E10" s="122"/>
      <c r="F10" s="87"/>
      <c r="G10" s="87"/>
      <c r="H10" s="87"/>
    </row>
    <row r="11" spans="1:8">
      <c r="A11" s="122"/>
      <c r="B11" s="122"/>
      <c r="C11" s="122"/>
      <c r="D11" s="122"/>
      <c r="E11" s="122"/>
      <c r="F11" s="87"/>
      <c r="G11" s="87"/>
      <c r="H11" s="87"/>
    </row>
    <row r="12" spans="1:8">
      <c r="A12" s="122"/>
      <c r="B12" s="122"/>
      <c r="C12" s="122"/>
      <c r="D12" s="122"/>
      <c r="E12" s="122"/>
      <c r="F12" s="87"/>
      <c r="G12" s="87"/>
      <c r="H12" s="87"/>
    </row>
    <row r="13" spans="1:8">
      <c r="A13" s="72"/>
      <c r="B13" s="72"/>
      <c r="C13" s="72"/>
      <c r="D13" s="72"/>
      <c r="E13" s="72"/>
      <c r="F13" s="87"/>
      <c r="G13" s="87"/>
      <c r="H13" s="87"/>
    </row>
    <row r="14" spans="1:8" ht="18" customHeight="1">
      <c r="A14" s="122" t="s">
        <v>296</v>
      </c>
      <c r="B14" s="122"/>
      <c r="C14" s="122"/>
      <c r="D14" s="122"/>
      <c r="E14" s="122"/>
      <c r="F14" s="87"/>
      <c r="G14" s="87"/>
      <c r="H14" s="87"/>
    </row>
    <row r="15" spans="1:8" ht="18" customHeight="1">
      <c r="A15" s="122"/>
      <c r="B15" s="122"/>
      <c r="C15" s="122"/>
      <c r="D15" s="122"/>
      <c r="E15" s="122"/>
      <c r="F15" s="87"/>
      <c r="G15" s="87"/>
      <c r="H15" s="87"/>
    </row>
    <row r="16" spans="1:8">
      <c r="A16" s="72"/>
      <c r="B16" s="72"/>
      <c r="C16" s="72"/>
      <c r="D16" s="72"/>
      <c r="E16" s="72"/>
      <c r="F16" s="87"/>
      <c r="G16" s="87"/>
      <c r="H16" s="87"/>
    </row>
    <row r="17" spans="1:9" ht="17" customHeight="1">
      <c r="A17" s="86" t="s">
        <v>297</v>
      </c>
      <c r="B17" s="72"/>
      <c r="C17" s="72"/>
      <c r="D17" s="72"/>
      <c r="E17" s="72"/>
      <c r="F17" s="87"/>
      <c r="G17" s="87"/>
      <c r="H17" s="87"/>
    </row>
    <row r="19" spans="1:9">
      <c r="A19" t="s">
        <v>281</v>
      </c>
    </row>
    <row r="21" spans="1:9">
      <c r="A21" t="s">
        <v>284</v>
      </c>
    </row>
    <row r="23" spans="1:9">
      <c r="A23" t="s">
        <v>290</v>
      </c>
    </row>
    <row r="25" spans="1:9">
      <c r="A25" s="88"/>
      <c r="B25" s="5" t="s">
        <v>271</v>
      </c>
      <c r="C25" s="5" t="s">
        <v>231</v>
      </c>
      <c r="D25" s="5" t="s">
        <v>240</v>
      </c>
      <c r="E25" s="49" t="s">
        <v>298</v>
      </c>
      <c r="F25" s="5" t="s">
        <v>272</v>
      </c>
      <c r="G25" s="89"/>
      <c r="H25" s="90"/>
    </row>
    <row r="26" spans="1:9">
      <c r="A26" s="15" t="s">
        <v>273</v>
      </c>
      <c r="B26" s="91">
        <f>40*300000</f>
        <v>12000000</v>
      </c>
      <c r="C26" s="91">
        <f>B26/B29</f>
        <v>0.43956043956043955</v>
      </c>
      <c r="D26" s="92">
        <f>((4*(1+2.5%)/40)+2.5%)</f>
        <v>0.1275</v>
      </c>
      <c r="E26" s="93"/>
      <c r="F26" s="91"/>
      <c r="G26" s="94">
        <f>C26*D26</f>
        <v>5.6043956043956046E-2</v>
      </c>
      <c r="H26" s="95"/>
      <c r="I26" t="s">
        <v>299</v>
      </c>
    </row>
    <row r="27" spans="1:9">
      <c r="A27" s="15" t="s">
        <v>274</v>
      </c>
      <c r="B27" s="91">
        <f>55000*100</f>
        <v>5500000</v>
      </c>
      <c r="C27" s="91">
        <f>B27/B29</f>
        <v>0.20146520146520147</v>
      </c>
      <c r="D27" s="92">
        <f>6/100</f>
        <v>0.06</v>
      </c>
      <c r="E27" s="27"/>
      <c r="F27" s="91"/>
      <c r="G27" s="91">
        <f>C27*D27</f>
        <v>1.2087912087912088E-2</v>
      </c>
      <c r="H27" s="95"/>
    </row>
    <row r="28" spans="1:9">
      <c r="A28" s="15" t="s">
        <v>275</v>
      </c>
      <c r="B28" s="91">
        <f>980*10000</f>
        <v>9800000</v>
      </c>
      <c r="C28" s="91">
        <f>B28/B29</f>
        <v>0.35897435897435898</v>
      </c>
      <c r="D28" s="96">
        <f>RATE(50,45,-980,1000)*2</f>
        <v>9.2058067952316691E-2</v>
      </c>
      <c r="E28" s="27"/>
      <c r="F28" s="96">
        <v>0.3</v>
      </c>
      <c r="G28" s="91">
        <f>(C28*D28)*(1-F28)</f>
        <v>2.3132540152120604E-2</v>
      </c>
      <c r="H28" s="95"/>
    </row>
    <row r="29" spans="1:9">
      <c r="A29" s="16" t="s">
        <v>277</v>
      </c>
      <c r="B29" s="97">
        <f>SUM(B26:B28)</f>
        <v>27300000</v>
      </c>
      <c r="C29" s="97"/>
      <c r="D29" s="97"/>
      <c r="E29" s="11"/>
      <c r="F29" s="97"/>
      <c r="G29" s="97">
        <f>SUM(G26:G28)</f>
        <v>9.1264408283988741E-2</v>
      </c>
      <c r="H29" s="98">
        <f>G29</f>
        <v>9.1264408283988741E-2</v>
      </c>
    </row>
    <row r="32" spans="1:9">
      <c r="A32" s="31" t="s">
        <v>300</v>
      </c>
    </row>
    <row r="33" spans="1:4">
      <c r="A33" s="31" t="s">
        <v>146</v>
      </c>
      <c r="B33">
        <v>980</v>
      </c>
    </row>
    <row r="34" spans="1:4">
      <c r="A34" s="31" t="s">
        <v>267</v>
      </c>
      <c r="B34">
        <v>1000</v>
      </c>
    </row>
    <row r="35" spans="1:4">
      <c r="A35" s="31" t="s">
        <v>301</v>
      </c>
      <c r="B35">
        <v>50</v>
      </c>
    </row>
    <row r="36" spans="1:4">
      <c r="A36" s="31" t="s">
        <v>288</v>
      </c>
      <c r="B36">
        <v>45</v>
      </c>
    </row>
    <row r="37" spans="1:4">
      <c r="A37" s="31" t="s">
        <v>7</v>
      </c>
      <c r="B37" t="s">
        <v>289</v>
      </c>
      <c r="C37" s="1">
        <f>RATE(B35,B36,-B33,B34)</f>
        <v>4.6029033976158346E-2</v>
      </c>
      <c r="D37" s="84">
        <f>C37*2</f>
        <v>9.2058067952316691E-2</v>
      </c>
    </row>
  </sheetData>
  <mergeCells count="3">
    <mergeCell ref="A6:E8"/>
    <mergeCell ref="A10:E12"/>
    <mergeCell ref="A14:E1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opLeftCell="A72" workbookViewId="0">
      <selection activeCell="B104" sqref="B104"/>
    </sheetView>
  </sheetViews>
  <sheetFormatPr baseColWidth="10" defaultRowHeight="15" x14ac:dyDescent="0"/>
  <sheetData>
    <row r="1" spans="1:8">
      <c r="A1" s="2" t="s">
        <v>279</v>
      </c>
    </row>
    <row r="3" spans="1:8">
      <c r="A3" s="122" t="s">
        <v>280</v>
      </c>
      <c r="B3" s="122"/>
      <c r="C3" s="122"/>
      <c r="D3" s="122"/>
      <c r="E3" s="122"/>
      <c r="F3" s="122"/>
      <c r="G3" s="122"/>
      <c r="H3" s="122"/>
    </row>
    <row r="4" spans="1:8">
      <c r="A4" s="122"/>
      <c r="B4" s="122"/>
      <c r="C4" s="122"/>
      <c r="D4" s="122"/>
      <c r="E4" s="122"/>
      <c r="F4" s="122"/>
      <c r="G4" s="122"/>
      <c r="H4" s="122"/>
    </row>
    <row r="5" spans="1:8">
      <c r="A5" s="122"/>
      <c r="B5" s="122"/>
      <c r="C5" s="122"/>
      <c r="D5" s="122"/>
      <c r="E5" s="122"/>
      <c r="F5" s="122"/>
      <c r="G5" s="122"/>
      <c r="H5" s="122"/>
    </row>
    <row r="6" spans="1:8">
      <c r="A6" s="122"/>
      <c r="B6" s="122"/>
      <c r="C6" s="122"/>
      <c r="D6" s="122"/>
      <c r="E6" s="122"/>
      <c r="F6" s="122"/>
      <c r="G6" s="122"/>
      <c r="H6" s="122"/>
    </row>
    <row r="7" spans="1:8">
      <c r="A7" s="122"/>
      <c r="B7" s="122"/>
      <c r="C7" s="122"/>
      <c r="D7" s="122"/>
      <c r="E7" s="122"/>
      <c r="F7" s="122"/>
      <c r="G7" s="122"/>
      <c r="H7" s="122"/>
    </row>
    <row r="8" spans="1:8">
      <c r="A8" s="122"/>
      <c r="B8" s="122"/>
      <c r="C8" s="122"/>
      <c r="D8" s="122"/>
      <c r="E8" s="122"/>
      <c r="F8" s="122"/>
      <c r="G8" s="122"/>
      <c r="H8" s="122"/>
    </row>
    <row r="9" spans="1:8">
      <c r="A9" s="122"/>
      <c r="B9" s="122"/>
      <c r="C9" s="122"/>
      <c r="D9" s="122"/>
      <c r="E9" s="122"/>
      <c r="F9" s="122"/>
      <c r="G9" s="122"/>
      <c r="H9" s="122"/>
    </row>
    <row r="10" spans="1:8">
      <c r="A10" t="s">
        <v>281</v>
      </c>
    </row>
    <row r="11" spans="1:8">
      <c r="A11" t="s">
        <v>284</v>
      </c>
    </row>
    <row r="12" spans="1:8">
      <c r="A12" t="s">
        <v>290</v>
      </c>
    </row>
    <row r="16" spans="1:8">
      <c r="A16" s="81" t="s">
        <v>255</v>
      </c>
    </row>
    <row r="17" spans="1:7">
      <c r="A17" s="2" t="s">
        <v>292</v>
      </c>
    </row>
    <row r="19" spans="1:7">
      <c r="A19" s="86" t="s">
        <v>293</v>
      </c>
      <c r="B19" s="87"/>
      <c r="C19" s="87"/>
      <c r="D19" s="87"/>
      <c r="E19" s="87"/>
      <c r="F19" s="87"/>
      <c r="G19" s="87"/>
    </row>
    <row r="20" spans="1:7">
      <c r="A20" s="86"/>
      <c r="B20" s="87"/>
      <c r="C20" s="87"/>
      <c r="D20" s="87"/>
      <c r="E20" s="87"/>
      <c r="F20" s="87"/>
      <c r="G20" s="87"/>
    </row>
    <row r="21" spans="1:7">
      <c r="A21" s="122" t="s">
        <v>294</v>
      </c>
      <c r="B21" s="122"/>
      <c r="C21" s="122"/>
      <c r="D21" s="122"/>
      <c r="E21" s="122"/>
      <c r="F21" s="87"/>
      <c r="G21" s="87"/>
    </row>
    <row r="22" spans="1:7">
      <c r="A22" s="122"/>
      <c r="B22" s="122"/>
      <c r="C22" s="122"/>
      <c r="D22" s="122"/>
      <c r="E22" s="122"/>
      <c r="F22" s="87"/>
      <c r="G22" s="87"/>
    </row>
    <row r="23" spans="1:7">
      <c r="A23" s="122"/>
      <c r="B23" s="122"/>
      <c r="C23" s="122"/>
      <c r="D23" s="122"/>
      <c r="E23" s="122"/>
      <c r="F23" s="87"/>
      <c r="G23" s="87"/>
    </row>
    <row r="24" spans="1:7">
      <c r="A24" s="115"/>
      <c r="B24" s="115"/>
      <c r="C24" s="115"/>
      <c r="D24" s="115"/>
      <c r="E24" s="115"/>
      <c r="F24" s="87"/>
      <c r="G24" s="87"/>
    </row>
    <row r="25" spans="1:7">
      <c r="A25" s="122" t="s">
        <v>295</v>
      </c>
      <c r="B25" s="122"/>
      <c r="C25" s="122"/>
      <c r="D25" s="122"/>
      <c r="E25" s="122"/>
      <c r="F25" s="87"/>
      <c r="G25" s="87"/>
    </row>
    <row r="26" spans="1:7">
      <c r="A26" s="122"/>
      <c r="B26" s="122"/>
      <c r="C26" s="122"/>
      <c r="D26" s="122"/>
      <c r="E26" s="122"/>
      <c r="F26" s="87"/>
      <c r="G26" s="87"/>
    </row>
    <row r="27" spans="1:7">
      <c r="A27" s="122"/>
      <c r="B27" s="122"/>
      <c r="C27" s="122"/>
      <c r="D27" s="122"/>
      <c r="E27" s="122"/>
      <c r="F27" s="87"/>
      <c r="G27" s="87"/>
    </row>
    <row r="28" spans="1:7">
      <c r="A28" s="115"/>
      <c r="B28" s="115"/>
      <c r="C28" s="115"/>
      <c r="D28" s="115"/>
      <c r="E28" s="115"/>
      <c r="F28" s="87"/>
      <c r="G28" s="87"/>
    </row>
    <row r="29" spans="1:7">
      <c r="A29" s="122" t="s">
        <v>296</v>
      </c>
      <c r="B29" s="122"/>
      <c r="C29" s="122"/>
      <c r="D29" s="122"/>
      <c r="E29" s="122"/>
      <c r="F29" s="87"/>
      <c r="G29" s="87"/>
    </row>
    <row r="30" spans="1:7">
      <c r="A30" s="122"/>
      <c r="B30" s="122"/>
      <c r="C30" s="122"/>
      <c r="D30" s="122"/>
      <c r="E30" s="122"/>
      <c r="F30" s="87"/>
      <c r="G30" s="87"/>
    </row>
    <row r="31" spans="1:7">
      <c r="A31" s="115"/>
      <c r="B31" s="115"/>
      <c r="C31" s="115"/>
      <c r="D31" s="115"/>
      <c r="E31" s="115"/>
      <c r="F31" s="87"/>
      <c r="G31" s="87"/>
    </row>
    <row r="32" spans="1:7">
      <c r="A32" s="86" t="s">
        <v>297</v>
      </c>
      <c r="B32" s="115"/>
      <c r="C32" s="115"/>
      <c r="D32" s="115"/>
      <c r="E32" s="115"/>
      <c r="F32" s="87"/>
      <c r="G32" s="87"/>
    </row>
    <row r="34" spans="1:9">
      <c r="A34" t="s">
        <v>281</v>
      </c>
    </row>
    <row r="36" spans="1:9">
      <c r="A36" t="s">
        <v>284</v>
      </c>
    </row>
    <row r="38" spans="1:9">
      <c r="A38" t="s">
        <v>290</v>
      </c>
    </row>
    <row r="42" spans="1:9">
      <c r="A42" t="s">
        <v>336</v>
      </c>
    </row>
    <row r="43" spans="1:9">
      <c r="A43" t="s">
        <v>302</v>
      </c>
    </row>
    <row r="44" spans="1:9">
      <c r="A44" s="103" t="s">
        <v>303</v>
      </c>
      <c r="B44" s="103"/>
      <c r="C44" s="103"/>
      <c r="D44" s="103"/>
      <c r="E44" s="103"/>
      <c r="F44" s="103"/>
      <c r="G44" s="103"/>
      <c r="H44" s="103"/>
      <c r="I44" s="103"/>
    </row>
    <row r="45" spans="1:9">
      <c r="A45" s="103" t="s">
        <v>304</v>
      </c>
      <c r="B45" s="103"/>
      <c r="C45" s="103"/>
      <c r="D45" s="103"/>
      <c r="E45" s="103"/>
      <c r="F45" s="103"/>
      <c r="G45" s="103"/>
      <c r="H45" s="103"/>
      <c r="I45" s="103"/>
    </row>
    <row r="46" spans="1:9">
      <c r="A46" s="103" t="s">
        <v>305</v>
      </c>
      <c r="B46" s="103"/>
      <c r="C46" s="103"/>
      <c r="D46" s="103"/>
      <c r="E46" s="103"/>
      <c r="F46" s="103"/>
      <c r="G46" s="103"/>
      <c r="H46" s="103"/>
      <c r="I46" s="103"/>
    </row>
    <row r="47" spans="1:9">
      <c r="A47" s="103" t="s">
        <v>306</v>
      </c>
      <c r="B47" s="103"/>
      <c r="C47" s="103"/>
      <c r="D47" s="103"/>
      <c r="E47" s="103"/>
      <c r="F47" s="103"/>
      <c r="G47" s="103"/>
      <c r="H47" s="103"/>
      <c r="I47" s="103"/>
    </row>
    <row r="48" spans="1:9">
      <c r="A48" s="103" t="s">
        <v>307</v>
      </c>
      <c r="B48" s="103"/>
      <c r="C48" s="103"/>
      <c r="D48" s="103"/>
      <c r="E48" s="103"/>
      <c r="F48" s="103"/>
      <c r="G48" s="103"/>
      <c r="H48" s="103"/>
      <c r="I48" s="103"/>
    </row>
    <row r="49" spans="1:9">
      <c r="A49" s="103" t="s">
        <v>308</v>
      </c>
      <c r="B49" s="103"/>
      <c r="C49" s="103"/>
      <c r="D49" s="103"/>
      <c r="E49" s="103"/>
      <c r="F49" s="103"/>
      <c r="G49" s="103"/>
      <c r="H49" s="103"/>
      <c r="I49" s="103"/>
    </row>
    <row r="50" spans="1:9">
      <c r="A50" s="102" t="s">
        <v>309</v>
      </c>
      <c r="B50" s="102"/>
      <c r="C50" s="102"/>
      <c r="D50" s="102"/>
      <c r="E50" s="102"/>
      <c r="F50" s="102"/>
      <c r="G50" s="102"/>
      <c r="H50" s="102"/>
      <c r="I50" s="102"/>
    </row>
    <row r="51" spans="1:9">
      <c r="A51" s="103" t="s">
        <v>310</v>
      </c>
    </row>
    <row r="52" spans="1:9">
      <c r="A52" s="101" t="s">
        <v>47</v>
      </c>
      <c r="B52" t="s">
        <v>311</v>
      </c>
      <c r="C52" t="s">
        <v>312</v>
      </c>
    </row>
    <row r="53" spans="1:9">
      <c r="A53">
        <v>0</v>
      </c>
      <c r="B53">
        <v>-100</v>
      </c>
      <c r="C53">
        <v>-100</v>
      </c>
      <c r="D53">
        <f>B53-C53</f>
        <v>0</v>
      </c>
    </row>
    <row r="54" spans="1:9">
      <c r="A54">
        <v>1</v>
      </c>
      <c r="B54">
        <v>50</v>
      </c>
      <c r="C54">
        <v>20</v>
      </c>
      <c r="D54">
        <f t="shared" ref="D54:D57" si="0">B54-C54</f>
        <v>30</v>
      </c>
    </row>
    <row r="55" spans="1:9">
      <c r="A55">
        <v>2</v>
      </c>
      <c r="B55">
        <v>40</v>
      </c>
      <c r="C55">
        <v>40</v>
      </c>
      <c r="D55">
        <f t="shared" si="0"/>
        <v>0</v>
      </c>
      <c r="E55" s="1">
        <f>IRR(D53:D57)</f>
        <v>0.11070394676312123</v>
      </c>
    </row>
    <row r="56" spans="1:9">
      <c r="A56">
        <v>3</v>
      </c>
      <c r="B56">
        <v>40</v>
      </c>
      <c r="C56">
        <v>50</v>
      </c>
      <c r="D56">
        <f t="shared" si="0"/>
        <v>-10</v>
      </c>
    </row>
    <row r="57" spans="1:9">
      <c r="A57">
        <v>4</v>
      </c>
      <c r="B57">
        <v>30</v>
      </c>
      <c r="C57">
        <v>60</v>
      </c>
      <c r="D57">
        <f t="shared" si="0"/>
        <v>-30</v>
      </c>
    </row>
    <row r="58" spans="1:9">
      <c r="A58" t="s">
        <v>313</v>
      </c>
    </row>
    <row r="59" spans="1:9">
      <c r="A59" t="s">
        <v>319</v>
      </c>
    </row>
    <row r="60" spans="1:9">
      <c r="A60" s="2" t="s">
        <v>321</v>
      </c>
    </row>
    <row r="61" spans="1:9">
      <c r="A61" t="s">
        <v>325</v>
      </c>
    </row>
    <row r="63" spans="1:9">
      <c r="A63" t="s">
        <v>329</v>
      </c>
    </row>
    <row r="64" spans="1:9">
      <c r="A64" t="s">
        <v>332</v>
      </c>
    </row>
    <row r="66" spans="1:8">
      <c r="B66" t="s">
        <v>271</v>
      </c>
      <c r="C66" t="s">
        <v>231</v>
      </c>
      <c r="D66" t="s">
        <v>240</v>
      </c>
      <c r="E66" t="s">
        <v>352</v>
      </c>
      <c r="F66" t="s">
        <v>330</v>
      </c>
    </row>
    <row r="67" spans="1:8">
      <c r="A67" t="s">
        <v>223</v>
      </c>
      <c r="B67">
        <f>1000000</f>
        <v>1000000</v>
      </c>
      <c r="C67">
        <f>B67/$B$73</f>
        <v>4.5454545454545456E-2</v>
      </c>
      <c r="D67" s="1">
        <v>0.09</v>
      </c>
      <c r="E67" s="1">
        <v>0.3</v>
      </c>
      <c r="F67">
        <f>(C67*D67)*(1-E67)</f>
        <v>2.8636363636363638E-3</v>
      </c>
    </row>
    <row r="68" spans="1:8">
      <c r="A68" t="s">
        <v>224</v>
      </c>
      <c r="B68">
        <v>5000000</v>
      </c>
      <c r="C68">
        <f t="shared" ref="C68:C72" si="1">B68/$B$73</f>
        <v>0.22727272727272727</v>
      </c>
      <c r="D68" s="18">
        <v>7.4999999999999997E-2</v>
      </c>
      <c r="E68" s="1">
        <v>0.3</v>
      </c>
      <c r="F68">
        <f t="shared" ref="F68:F69" si="2">(C68*D68)*(1-E68)</f>
        <v>1.1931818181818181E-2</v>
      </c>
    </row>
    <row r="69" spans="1:8">
      <c r="A69" t="s">
        <v>224</v>
      </c>
      <c r="B69">
        <f>500000</f>
        <v>500000</v>
      </c>
      <c r="C69">
        <f t="shared" si="1"/>
        <v>2.2727272727272728E-2</v>
      </c>
      <c r="D69" s="1">
        <v>7.0000000000000007E-2</v>
      </c>
      <c r="E69" s="1">
        <v>0.3</v>
      </c>
      <c r="F69">
        <f t="shared" si="2"/>
        <v>1.1136363636363637E-3</v>
      </c>
    </row>
    <row r="70" spans="1:8">
      <c r="A70" t="s">
        <v>348</v>
      </c>
      <c r="B70">
        <f>400000*25</f>
        <v>10000000</v>
      </c>
      <c r="C70">
        <f t="shared" si="1"/>
        <v>0.45454545454545453</v>
      </c>
      <c r="D70" s="18">
        <f>2.5/25+5%</f>
        <v>0.15000000000000002</v>
      </c>
      <c r="F70">
        <f>C70*D70</f>
        <v>6.8181818181818191E-2</v>
      </c>
      <c r="G70" t="s">
        <v>350</v>
      </c>
    </row>
    <row r="71" spans="1:8">
      <c r="A71" t="s">
        <v>349</v>
      </c>
      <c r="B71">
        <v>3000000</v>
      </c>
      <c r="C71">
        <f t="shared" si="1"/>
        <v>0.13636363636363635</v>
      </c>
      <c r="D71" s="18">
        <v>0.04</v>
      </c>
      <c r="F71">
        <f>C71*D71</f>
        <v>5.4545454545454541E-3</v>
      </c>
      <c r="G71">
        <f>30*4%</f>
        <v>1.2</v>
      </c>
    </row>
    <row r="72" spans="1:8">
      <c r="A72" t="s">
        <v>224</v>
      </c>
      <c r="B72">
        <v>2500000</v>
      </c>
      <c r="C72">
        <f t="shared" si="1"/>
        <v>0.11363636363636363</v>
      </c>
      <c r="D72" s="18">
        <f>H77</f>
        <v>0.1027859815635233</v>
      </c>
      <c r="E72" s="1">
        <v>0.3</v>
      </c>
      <c r="F72">
        <f>(C72*D72)*(1-E72)</f>
        <v>8.176157624371171E-3</v>
      </c>
      <c r="G72" t="s">
        <v>146</v>
      </c>
      <c r="H72">
        <f>-1975.5</f>
        <v>-1975.5</v>
      </c>
    </row>
    <row r="73" spans="1:8">
      <c r="A73" t="s">
        <v>188</v>
      </c>
      <c r="B73">
        <f>SUM(B67:B72)</f>
        <v>22000000</v>
      </c>
      <c r="C73">
        <f>SUM(C67:C72)</f>
        <v>1</v>
      </c>
      <c r="E73" t="s">
        <v>277</v>
      </c>
      <c r="F73">
        <f>SUM(F67:F72)</f>
        <v>9.7721612169825722E-2</v>
      </c>
      <c r="G73" t="s">
        <v>267</v>
      </c>
      <c r="H73">
        <v>2000</v>
      </c>
    </row>
    <row r="74" spans="1:8">
      <c r="E74" t="s">
        <v>198</v>
      </c>
      <c r="F74" s="124">
        <f>F73</f>
        <v>9.7721612169825722E-2</v>
      </c>
      <c r="G74" t="s">
        <v>351</v>
      </c>
      <c r="H74">
        <v>12</v>
      </c>
    </row>
    <row r="75" spans="1:8">
      <c r="G75" t="s">
        <v>288</v>
      </c>
      <c r="H75">
        <v>100</v>
      </c>
    </row>
    <row r="76" spans="1:8">
      <c r="G76" t="s">
        <v>338</v>
      </c>
      <c r="H76" s="1">
        <f>RATE(H74,H75,H72,H73)</f>
        <v>5.1392990781761648E-2</v>
      </c>
    </row>
    <row r="77" spans="1:8">
      <c r="B77" t="s">
        <v>311</v>
      </c>
      <c r="C77" t="s">
        <v>312</v>
      </c>
      <c r="H77">
        <f>H76*2</f>
        <v>0.1027859815635233</v>
      </c>
    </row>
    <row r="78" spans="1:8">
      <c r="A78" t="s">
        <v>253</v>
      </c>
      <c r="B78" s="13">
        <f>NPV(F74,B54:B57)+B53</f>
        <v>29.645268893376937</v>
      </c>
      <c r="C78" s="107">
        <f>NPV(F74,C54:C57)+C53</f>
        <v>30.537012908995081</v>
      </c>
    </row>
    <row r="79" spans="1:8">
      <c r="A79" t="s">
        <v>100</v>
      </c>
      <c r="B79" s="108">
        <f>IRR(B53:B57)</f>
        <v>0.24003519042645305</v>
      </c>
      <c r="C79" s="1">
        <f>IRR(C53:C57)</f>
        <v>0.21028751453526273</v>
      </c>
    </row>
    <row r="81" spans="1:9">
      <c r="A81" t="s">
        <v>353</v>
      </c>
      <c r="C81" s="1">
        <f>E55</f>
        <v>0.11070394676312123</v>
      </c>
    </row>
    <row r="83" spans="1:9">
      <c r="A83" t="s">
        <v>354</v>
      </c>
    </row>
    <row r="84" spans="1:9">
      <c r="A84" t="s">
        <v>50</v>
      </c>
      <c r="B84" t="s">
        <v>345</v>
      </c>
      <c r="C84" t="s">
        <v>108</v>
      </c>
      <c r="D84" t="s">
        <v>109</v>
      </c>
    </row>
    <row r="85" spans="1:9">
      <c r="A85">
        <v>0</v>
      </c>
      <c r="B85">
        <v>0</v>
      </c>
      <c r="C85">
        <v>-100</v>
      </c>
      <c r="D85">
        <f>B85+C85</f>
        <v>-100</v>
      </c>
    </row>
    <row r="86" spans="1:9">
      <c r="A86">
        <v>1</v>
      </c>
      <c r="B86">
        <f>-100</f>
        <v>-100</v>
      </c>
      <c r="C86">
        <v>50</v>
      </c>
      <c r="D86">
        <f>B86+C86</f>
        <v>-50</v>
      </c>
      <c r="F86">
        <v>1</v>
      </c>
    </row>
    <row r="87" spans="1:9">
      <c r="A87">
        <v>2</v>
      </c>
      <c r="B87">
        <v>-50</v>
      </c>
      <c r="C87">
        <v>40</v>
      </c>
      <c r="D87">
        <f>B87+C87</f>
        <v>-10</v>
      </c>
      <c r="F87">
        <v>2</v>
      </c>
    </row>
    <row r="88" spans="1:9">
      <c r="A88">
        <v>3</v>
      </c>
      <c r="B88">
        <f>-10</f>
        <v>-10</v>
      </c>
      <c r="C88">
        <v>40</v>
      </c>
      <c r="D88">
        <f>C88+B88</f>
        <v>30</v>
      </c>
      <c r="F88">
        <f>0.25</f>
        <v>0.25</v>
      </c>
      <c r="I88">
        <f>D87/C88</f>
        <v>-0.25</v>
      </c>
    </row>
    <row r="89" spans="1:9">
      <c r="A89">
        <v>4</v>
      </c>
      <c r="C89">
        <v>30</v>
      </c>
      <c r="F89">
        <f>F87+F88</f>
        <v>2.25</v>
      </c>
      <c r="G89" t="s">
        <v>327</v>
      </c>
    </row>
    <row r="90" spans="1:9">
      <c r="H90">
        <f>3/12</f>
        <v>0.25</v>
      </c>
    </row>
    <row r="92" spans="1:9">
      <c r="A92" t="s">
        <v>329</v>
      </c>
    </row>
    <row r="93" spans="1:9">
      <c r="A93" t="s">
        <v>50</v>
      </c>
      <c r="B93" t="s">
        <v>108</v>
      </c>
      <c r="C93" t="s">
        <v>146</v>
      </c>
      <c r="D93" t="s">
        <v>345</v>
      </c>
      <c r="E93" t="s">
        <v>109</v>
      </c>
    </row>
    <row r="94" spans="1:9">
      <c r="A94">
        <v>0</v>
      </c>
      <c r="B94" s="24">
        <v>-100</v>
      </c>
      <c r="C94" s="13">
        <f>-PV($F$74,A94,0,B94)</f>
        <v>-100</v>
      </c>
      <c r="D94" s="13">
        <v>0</v>
      </c>
      <c r="E94" s="13">
        <f>C94</f>
        <v>-100</v>
      </c>
    </row>
    <row r="95" spans="1:9">
      <c r="A95">
        <v>1</v>
      </c>
      <c r="B95" s="24">
        <v>20</v>
      </c>
      <c r="C95" s="13">
        <f t="shared" ref="C95:C98" si="3">-PV($F$74,A95,0,B95)</f>
        <v>18.219555648965262</v>
      </c>
      <c r="D95" s="13">
        <f>E94</f>
        <v>-100</v>
      </c>
      <c r="E95" s="13">
        <f>D95+C95</f>
        <v>-81.780444351034731</v>
      </c>
      <c r="G95">
        <v>1</v>
      </c>
    </row>
    <row r="96" spans="1:9">
      <c r="A96">
        <v>2</v>
      </c>
      <c r="B96" s="24">
        <v>40</v>
      </c>
      <c r="C96" s="13">
        <f t="shared" si="3"/>
        <v>33.195220804574191</v>
      </c>
      <c r="D96" s="13">
        <f>E95</f>
        <v>-81.780444351034731</v>
      </c>
      <c r="E96" s="13">
        <f>D96+C96</f>
        <v>-48.58522354646054</v>
      </c>
      <c r="G96">
        <v>2</v>
      </c>
    </row>
    <row r="97" spans="1:9">
      <c r="A97">
        <v>3</v>
      </c>
      <c r="B97" s="24">
        <v>50</v>
      </c>
      <c r="C97" s="13">
        <f t="shared" si="3"/>
        <v>37.800135795539305</v>
      </c>
      <c r="D97" s="13">
        <f>E96</f>
        <v>-48.58522354646054</v>
      </c>
      <c r="E97" s="13">
        <f>D97+C97</f>
        <v>-10.785087750921235</v>
      </c>
      <c r="G97">
        <v>3</v>
      </c>
    </row>
    <row r="98" spans="1:9">
      <c r="A98">
        <v>4</v>
      </c>
      <c r="B98" s="24">
        <v>60</v>
      </c>
      <c r="C98" s="13">
        <f t="shared" si="3"/>
        <v>41.322100659916323</v>
      </c>
      <c r="D98" s="13">
        <f>E97</f>
        <v>-10.785087750921235</v>
      </c>
      <c r="E98" s="13">
        <f>E97+C98</f>
        <v>30.537012908995088</v>
      </c>
      <c r="G98">
        <f>-I98</f>
        <v>0.26100047138656468</v>
      </c>
      <c r="I98">
        <f>E97/C98</f>
        <v>-0.26100047138656468</v>
      </c>
    </row>
    <row r="99" spans="1:9">
      <c r="G99">
        <f>G98+G97</f>
        <v>3.2610004713865646</v>
      </c>
      <c r="H99" t="s">
        <v>28</v>
      </c>
      <c r="I99">
        <f>85/365</f>
        <v>0.23287671232876711</v>
      </c>
    </row>
    <row r="100" spans="1:9">
      <c r="I100">
        <f>3+I99</f>
        <v>3.2328767123287672</v>
      </c>
    </row>
    <row r="101" spans="1:9">
      <c r="A101" t="s">
        <v>355</v>
      </c>
    </row>
    <row r="102" spans="1:9">
      <c r="A102" s="13">
        <f>NPV(F74,B95:B98)</f>
        <v>130.53701290899508</v>
      </c>
    </row>
    <row r="103" spans="1:9">
      <c r="A103">
        <f>-B94</f>
        <v>100</v>
      </c>
    </row>
    <row r="104" spans="1:9">
      <c r="A104" s="13">
        <f>A102/A103</f>
        <v>1.3053701290899509</v>
      </c>
    </row>
  </sheetData>
  <mergeCells count="4">
    <mergeCell ref="A3:H9"/>
    <mergeCell ref="A21:E23"/>
    <mergeCell ref="A25:E27"/>
    <mergeCell ref="A29:E30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A63" workbookViewId="0">
      <selection activeCell="C84" sqref="C84"/>
    </sheetView>
  </sheetViews>
  <sheetFormatPr baseColWidth="10" defaultRowHeight="15" x14ac:dyDescent="0"/>
  <cols>
    <col min="2" max="3" width="20.33203125" bestFit="1" customWidth="1"/>
    <col min="7" max="7" width="11.5" bestFit="1" customWidth="1"/>
  </cols>
  <sheetData>
    <row r="1" spans="1:10">
      <c r="A1" t="s">
        <v>302</v>
      </c>
    </row>
    <row r="2" spans="1:10">
      <c r="A2" s="103" t="s">
        <v>303</v>
      </c>
      <c r="B2" s="103"/>
      <c r="C2" s="103"/>
      <c r="D2" s="103"/>
      <c r="E2" s="103"/>
      <c r="F2" s="103"/>
      <c r="G2" s="103"/>
      <c r="H2" s="103"/>
      <c r="I2" s="103"/>
      <c r="J2" s="102"/>
    </row>
    <row r="3" spans="1:10">
      <c r="A3" s="103" t="s">
        <v>304</v>
      </c>
      <c r="B3" s="103"/>
      <c r="C3" s="103"/>
      <c r="D3" s="103"/>
      <c r="E3" s="103"/>
      <c r="F3" s="103"/>
      <c r="G3" s="103"/>
      <c r="H3" s="103"/>
      <c r="I3" s="103"/>
      <c r="J3" s="102"/>
    </row>
    <row r="4" spans="1:10">
      <c r="A4" s="103" t="s">
        <v>305</v>
      </c>
      <c r="B4" s="103"/>
      <c r="C4" s="103"/>
      <c r="D4" s="103"/>
      <c r="E4" s="103"/>
      <c r="F4" s="103"/>
      <c r="G4" s="103"/>
      <c r="H4" s="103"/>
      <c r="I4" s="103"/>
      <c r="J4" s="102"/>
    </row>
    <row r="5" spans="1:10">
      <c r="A5" s="103" t="s">
        <v>306</v>
      </c>
      <c r="B5" s="103"/>
      <c r="C5" s="103"/>
      <c r="D5" s="103"/>
      <c r="E5" s="103"/>
      <c r="F5" s="103"/>
      <c r="G5" s="103"/>
      <c r="H5" s="103"/>
      <c r="I5" s="103"/>
      <c r="J5" s="102"/>
    </row>
    <row r="6" spans="1:10">
      <c r="A6" s="103" t="s">
        <v>307</v>
      </c>
      <c r="B6" s="103"/>
      <c r="C6" s="103"/>
      <c r="D6" s="103"/>
      <c r="E6" s="103"/>
      <c r="F6" s="103"/>
      <c r="G6" s="103"/>
      <c r="H6" s="103"/>
      <c r="I6" s="103"/>
      <c r="J6" s="102"/>
    </row>
    <row r="7" spans="1:10">
      <c r="A7" s="103" t="s">
        <v>308</v>
      </c>
      <c r="B7" s="103"/>
      <c r="C7" s="103"/>
      <c r="D7" s="103"/>
      <c r="E7" s="103"/>
      <c r="F7" s="103"/>
      <c r="G7" s="103"/>
      <c r="H7" s="103"/>
      <c r="I7" s="103"/>
      <c r="J7" s="102"/>
    </row>
    <row r="8" spans="1:10">
      <c r="A8" s="102" t="s">
        <v>309</v>
      </c>
      <c r="B8" s="102"/>
      <c r="C8" s="102"/>
      <c r="D8" s="102"/>
      <c r="E8" s="102"/>
      <c r="F8" s="102"/>
      <c r="G8" s="102"/>
      <c r="H8" s="102"/>
      <c r="I8" s="102"/>
      <c r="J8" s="102"/>
    </row>
    <row r="9" spans="1:10">
      <c r="A9" s="103" t="s">
        <v>310</v>
      </c>
    </row>
    <row r="10" spans="1:10">
      <c r="A10" s="101" t="s">
        <v>47</v>
      </c>
      <c r="B10" t="s">
        <v>311</v>
      </c>
      <c r="C10" t="s">
        <v>312</v>
      </c>
    </row>
    <row r="11" spans="1:10">
      <c r="A11">
        <v>1</v>
      </c>
      <c r="B11">
        <v>50</v>
      </c>
      <c r="C11">
        <v>20</v>
      </c>
    </row>
    <row r="12" spans="1:10">
      <c r="A12">
        <v>2</v>
      </c>
      <c r="B12">
        <v>40</v>
      </c>
      <c r="C12">
        <v>40</v>
      </c>
    </row>
    <row r="13" spans="1:10">
      <c r="A13">
        <v>3</v>
      </c>
      <c r="B13">
        <v>40</v>
      </c>
      <c r="C13">
        <v>50</v>
      </c>
    </row>
    <row r="14" spans="1:10">
      <c r="A14">
        <v>4</v>
      </c>
      <c r="B14">
        <v>30</v>
      </c>
      <c r="C14">
        <v>60</v>
      </c>
    </row>
    <row r="17" spans="1:10">
      <c r="A17" s="4" t="s">
        <v>313</v>
      </c>
      <c r="B17" s="49"/>
      <c r="C17" s="49"/>
      <c r="D17" s="49"/>
      <c r="E17" s="49"/>
      <c r="F17" s="49"/>
      <c r="G17" s="32"/>
    </row>
    <row r="18" spans="1:10">
      <c r="A18" s="7"/>
      <c r="B18" s="27" t="s">
        <v>271</v>
      </c>
      <c r="C18" s="27" t="s">
        <v>231</v>
      </c>
      <c r="D18" s="27" t="s">
        <v>240</v>
      </c>
      <c r="E18" s="27" t="s">
        <v>272</v>
      </c>
      <c r="F18" s="27" t="s">
        <v>318</v>
      </c>
      <c r="G18" s="28"/>
    </row>
    <row r="19" spans="1:10">
      <c r="A19" s="104" t="s">
        <v>314</v>
      </c>
      <c r="B19" s="27">
        <v>1000000</v>
      </c>
      <c r="C19" s="27">
        <f>B19/B25</f>
        <v>4.5454545454545456E-2</v>
      </c>
      <c r="D19" s="82">
        <v>0.09</v>
      </c>
      <c r="E19" s="82">
        <v>0.3</v>
      </c>
      <c r="F19" s="27">
        <f>(C19*D19)*(1-E19)</f>
        <v>2.8636363636363638E-3</v>
      </c>
      <c r="G19" s="28"/>
    </row>
    <row r="20" spans="1:10">
      <c r="A20" s="7" t="s">
        <v>315</v>
      </c>
      <c r="B20" s="27">
        <v>5000000</v>
      </c>
      <c r="C20" s="27">
        <f>B20/B25</f>
        <v>0.22727272727272727</v>
      </c>
      <c r="D20" s="83">
        <v>7.4999999999999997E-2</v>
      </c>
      <c r="E20" s="82">
        <v>0.3</v>
      </c>
      <c r="F20" s="27">
        <f>(C20*D20)*(1-E20)</f>
        <v>1.1931818181818181E-2</v>
      </c>
      <c r="G20" s="28"/>
    </row>
    <row r="21" spans="1:10">
      <c r="A21" s="7" t="s">
        <v>316</v>
      </c>
      <c r="B21" s="27">
        <v>500000</v>
      </c>
      <c r="C21" s="27">
        <f>B21/B25</f>
        <v>2.2727272727272728E-2</v>
      </c>
      <c r="D21" s="82">
        <v>7.0000000000000007E-2</v>
      </c>
      <c r="E21" s="82">
        <v>0.3</v>
      </c>
      <c r="F21" s="27">
        <f>(C21*D21)*(1-E21)</f>
        <v>1.1136363636363637E-3</v>
      </c>
      <c r="G21" s="28"/>
    </row>
    <row r="22" spans="1:10">
      <c r="A22" s="7" t="s">
        <v>191</v>
      </c>
      <c r="B22" s="27">
        <f>25*400000</f>
        <v>10000000</v>
      </c>
      <c r="C22" s="27">
        <f>B22/B25</f>
        <v>0.45454545454545453</v>
      </c>
      <c r="D22" s="82">
        <f>(2.5/25)+5%</f>
        <v>0.15000000000000002</v>
      </c>
      <c r="E22" s="82"/>
      <c r="F22" s="27">
        <f>(C22*D22)</f>
        <v>6.8181818181818191E-2</v>
      </c>
      <c r="G22" s="28"/>
      <c r="H22" t="s">
        <v>298</v>
      </c>
      <c r="I22" t="s">
        <v>317</v>
      </c>
    </row>
    <row r="23" spans="1:10">
      <c r="A23" s="7" t="s">
        <v>191</v>
      </c>
      <c r="B23" s="27">
        <v>3000000</v>
      </c>
      <c r="C23" s="27">
        <f>B23/B25</f>
        <v>0.13636363636363635</v>
      </c>
      <c r="D23" s="82">
        <v>0.04</v>
      </c>
      <c r="E23" s="82"/>
      <c r="F23" s="27">
        <f>(C23*D23)</f>
        <v>5.4545454545454541E-3</v>
      </c>
      <c r="G23" s="28"/>
      <c r="J23">
        <f>3000000*4%</f>
        <v>120000</v>
      </c>
    </row>
    <row r="24" spans="1:10">
      <c r="A24" s="7" t="s">
        <v>315</v>
      </c>
      <c r="B24" s="27">
        <v>2500000</v>
      </c>
      <c r="C24" s="27">
        <f>B24/B25</f>
        <v>0.11363636363636363</v>
      </c>
      <c r="D24" s="105">
        <f>J25</f>
        <v>0.1027859815635233</v>
      </c>
      <c r="E24" s="82">
        <v>0.3</v>
      </c>
      <c r="F24" s="27">
        <f>(C24*D24)*(1-E24)</f>
        <v>8.176157624371171E-3</v>
      </c>
      <c r="G24" s="28"/>
      <c r="J24" s="18">
        <f>RATE(12,100,-1975.5,2000)</f>
        <v>5.1392990781761648E-2</v>
      </c>
    </row>
    <row r="25" spans="1:10">
      <c r="A25" s="10" t="s">
        <v>277</v>
      </c>
      <c r="B25" s="11">
        <f>SUM(B19:B24)</f>
        <v>22000000</v>
      </c>
      <c r="C25" s="11">
        <f>SUM(C19:C24)</f>
        <v>1</v>
      </c>
      <c r="D25" s="11"/>
      <c r="E25" s="11"/>
      <c r="F25" s="11">
        <f>SUM(F19:F24)</f>
        <v>9.7721612169825722E-2</v>
      </c>
      <c r="G25" s="109">
        <f>F25</f>
        <v>9.7721612169825722E-2</v>
      </c>
      <c r="J25">
        <f>J24*2</f>
        <v>0.1027859815635233</v>
      </c>
    </row>
    <row r="26" spans="1:10">
      <c r="G26" t="s">
        <v>320</v>
      </c>
    </row>
    <row r="30" spans="1:10">
      <c r="A30" t="s">
        <v>319</v>
      </c>
    </row>
    <row r="31" spans="1:10">
      <c r="A31" s="106" t="s">
        <v>47</v>
      </c>
      <c r="B31" s="49" t="s">
        <v>311</v>
      </c>
      <c r="C31" s="32" t="s">
        <v>312</v>
      </c>
    </row>
    <row r="32" spans="1:10">
      <c r="A32">
        <v>0</v>
      </c>
      <c r="B32">
        <v>-100</v>
      </c>
      <c r="C32">
        <v>-100</v>
      </c>
    </row>
    <row r="33" spans="1:7">
      <c r="A33" s="7">
        <v>1</v>
      </c>
      <c r="B33" s="27">
        <v>50</v>
      </c>
      <c r="C33" s="28">
        <v>20</v>
      </c>
    </row>
    <row r="34" spans="1:7">
      <c r="A34" s="7">
        <v>2</v>
      </c>
      <c r="B34" s="27">
        <v>40</v>
      </c>
      <c r="C34" s="28">
        <v>40</v>
      </c>
    </row>
    <row r="35" spans="1:7">
      <c r="A35" s="7">
        <v>3</v>
      </c>
      <c r="B35" s="27">
        <v>40</v>
      </c>
      <c r="C35" s="28">
        <v>50</v>
      </c>
    </row>
    <row r="36" spans="1:7">
      <c r="A36" s="10">
        <v>4</v>
      </c>
      <c r="B36" s="11">
        <v>30</v>
      </c>
      <c r="C36" s="12">
        <v>60</v>
      </c>
    </row>
    <row r="37" spans="1:7">
      <c r="A37" t="s">
        <v>253</v>
      </c>
      <c r="B37" s="13">
        <f>NPV(G25,B33:B36)+B32</f>
        <v>29.645268893376937</v>
      </c>
      <c r="C37" s="107">
        <f>NPV(G25,C33:C36)+C32</f>
        <v>30.537012908995081</v>
      </c>
    </row>
    <row r="38" spans="1:7">
      <c r="A38" t="s">
        <v>58</v>
      </c>
      <c r="B38" s="108">
        <f>IRR(B32:B36)</f>
        <v>0.24003519042645305</v>
      </c>
      <c r="C38" s="1">
        <f>IRR(C32:C36)</f>
        <v>0.21028751453526273</v>
      </c>
    </row>
    <row r="39" spans="1:7">
      <c r="A39" s="2" t="s">
        <v>321</v>
      </c>
    </row>
    <row r="40" spans="1:7">
      <c r="A40" s="4" t="s">
        <v>47</v>
      </c>
      <c r="B40" s="49" t="s">
        <v>311</v>
      </c>
      <c r="C40" s="49" t="s">
        <v>312</v>
      </c>
      <c r="D40" s="32" t="s">
        <v>322</v>
      </c>
    </row>
    <row r="41" spans="1:7">
      <c r="A41" s="7">
        <v>0</v>
      </c>
      <c r="B41" s="27">
        <v>-100</v>
      </c>
      <c r="C41" s="27">
        <v>-100</v>
      </c>
      <c r="D41" s="28">
        <f>B41-C41</f>
        <v>0</v>
      </c>
    </row>
    <row r="42" spans="1:7">
      <c r="A42" s="7">
        <v>1</v>
      </c>
      <c r="B42" s="27">
        <v>50</v>
      </c>
      <c r="C42" s="28">
        <v>20</v>
      </c>
      <c r="D42" s="28">
        <f>B42-C42</f>
        <v>30</v>
      </c>
    </row>
    <row r="43" spans="1:7">
      <c r="A43" s="7">
        <v>2</v>
      </c>
      <c r="B43" s="27">
        <v>40</v>
      </c>
      <c r="C43" s="28">
        <v>40</v>
      </c>
      <c r="D43" s="110">
        <v>0</v>
      </c>
    </row>
    <row r="44" spans="1:7">
      <c r="A44" s="7">
        <v>3</v>
      </c>
      <c r="B44" s="27">
        <v>40</v>
      </c>
      <c r="C44" s="28">
        <v>50</v>
      </c>
      <c r="D44" s="110">
        <v>-10</v>
      </c>
    </row>
    <row r="45" spans="1:7">
      <c r="A45" s="10">
        <v>4</v>
      </c>
      <c r="B45" s="11">
        <v>30</v>
      </c>
      <c r="C45" s="12">
        <v>60</v>
      </c>
      <c r="D45" s="111">
        <v>-30</v>
      </c>
    </row>
    <row r="46" spans="1:7">
      <c r="C46" t="s">
        <v>100</v>
      </c>
      <c r="D46" s="112">
        <f>IRR(D41:D45)</f>
        <v>0.11070394676312123</v>
      </c>
    </row>
    <row r="47" spans="1:7">
      <c r="G47" s="1"/>
    </row>
    <row r="48" spans="1:7">
      <c r="B48" t="s">
        <v>311</v>
      </c>
      <c r="C48" t="s">
        <v>312</v>
      </c>
    </row>
    <row r="49" spans="1:8">
      <c r="A49" s="1">
        <v>0.09</v>
      </c>
      <c r="B49" s="113">
        <f>NPV(A49,$B$42:$B$45)+$B$41</f>
        <v>31.67885489808836</v>
      </c>
      <c r="C49" s="114">
        <f>NPV(A49,$C$42:$C$45)+$C$41</f>
        <v>33.130510250838398</v>
      </c>
    </row>
    <row r="50" spans="1:8">
      <c r="A50" s="1">
        <v>0.1</v>
      </c>
      <c r="B50" s="113">
        <f t="shared" ref="B50:B52" si="0">NPV(A50,$B$42:$B$45)+$B$41</f>
        <v>29.0553923912301</v>
      </c>
      <c r="C50" s="114">
        <f t="shared" ref="C50:C54" si="1">NPV(A50,$C$42:$C$45)+$C$41</f>
        <v>29.786216788470711</v>
      </c>
    </row>
    <row r="51" spans="1:8">
      <c r="A51" s="1">
        <v>0.11</v>
      </c>
      <c r="B51" s="113">
        <f t="shared" si="0"/>
        <v>26.519526851195224</v>
      </c>
      <c r="C51" s="114">
        <f t="shared" si="1"/>
        <v>26.566342861527716</v>
      </c>
    </row>
    <row r="52" spans="1:8">
      <c r="A52" s="18">
        <f>D46</f>
        <v>0.11070394676312123</v>
      </c>
      <c r="B52" s="113">
        <f t="shared" si="0"/>
        <v>26.344213084422506</v>
      </c>
      <c r="C52" s="114">
        <f t="shared" si="1"/>
        <v>26.344213084422506</v>
      </c>
    </row>
    <row r="53" spans="1:8">
      <c r="A53" s="1">
        <v>0.12</v>
      </c>
      <c r="B53" s="113">
        <f>NPV(A53,$B$42:$B$45)+$B$41</f>
        <v>24.067364509579306</v>
      </c>
      <c r="C53" s="114">
        <f t="shared" si="1"/>
        <v>23.464995054144069</v>
      </c>
    </row>
    <row r="54" spans="1:8">
      <c r="A54" s="1">
        <v>0.13</v>
      </c>
      <c r="B54" s="113">
        <f>NPV(A54,$B$42:$B$45)+$B$41</f>
        <v>21.695223267060442</v>
      </c>
      <c r="C54" s="114">
        <f t="shared" si="1"/>
        <v>20.476614153847024</v>
      </c>
    </row>
    <row r="57" spans="1:8">
      <c r="A57" t="s">
        <v>325</v>
      </c>
    </row>
    <row r="58" spans="1:8">
      <c r="A58" s="4" t="s">
        <v>50</v>
      </c>
      <c r="B58" s="49" t="s">
        <v>326</v>
      </c>
      <c r="C58" s="49" t="s">
        <v>51</v>
      </c>
      <c r="D58" s="32" t="s">
        <v>109</v>
      </c>
    </row>
    <row r="59" spans="1:8">
      <c r="A59" s="7">
        <v>0</v>
      </c>
      <c r="B59" s="27">
        <v>0</v>
      </c>
      <c r="C59" s="27">
        <f>-100</f>
        <v>-100</v>
      </c>
      <c r="D59" s="28">
        <f>-100</f>
        <v>-100</v>
      </c>
    </row>
    <row r="60" spans="1:8">
      <c r="A60" s="7">
        <v>1</v>
      </c>
      <c r="B60" s="27">
        <v>-100</v>
      </c>
      <c r="C60" s="27">
        <v>50</v>
      </c>
      <c r="D60" s="28">
        <v>-50</v>
      </c>
      <c r="F60">
        <v>1</v>
      </c>
    </row>
    <row r="61" spans="1:8">
      <c r="A61" s="7">
        <v>2</v>
      </c>
      <c r="B61" s="27">
        <v>-50</v>
      </c>
      <c r="C61" s="27">
        <v>40</v>
      </c>
      <c r="D61" s="28">
        <v>-10</v>
      </c>
      <c r="F61">
        <v>2</v>
      </c>
      <c r="G61" t="s">
        <v>328</v>
      </c>
      <c r="H61">
        <f>D61</f>
        <v>-10</v>
      </c>
    </row>
    <row r="62" spans="1:8">
      <c r="A62" s="10">
        <v>3</v>
      </c>
      <c r="B62" s="11">
        <v>-10</v>
      </c>
      <c r="C62" s="11">
        <v>40</v>
      </c>
      <c r="D62" s="12">
        <v>30</v>
      </c>
      <c r="F62">
        <v>0.25</v>
      </c>
      <c r="G62" t="s">
        <v>140</v>
      </c>
      <c r="H62">
        <f>C62</f>
        <v>40</v>
      </c>
    </row>
    <row r="63" spans="1:8">
      <c r="H63">
        <f>H61/H62</f>
        <v>-0.25</v>
      </c>
    </row>
    <row r="65" spans="1:8">
      <c r="F65" s="26">
        <v>2.25</v>
      </c>
      <c r="G65" t="s">
        <v>327</v>
      </c>
    </row>
    <row r="67" spans="1:8">
      <c r="A67" t="s">
        <v>329</v>
      </c>
    </row>
    <row r="68" spans="1:8">
      <c r="A68" s="4" t="s">
        <v>50</v>
      </c>
      <c r="B68" s="49" t="s">
        <v>140</v>
      </c>
      <c r="C68" s="49" t="s">
        <v>326</v>
      </c>
      <c r="D68" s="49" t="s">
        <v>146</v>
      </c>
      <c r="E68" s="32" t="s">
        <v>109</v>
      </c>
      <c r="F68">
        <f>85/365</f>
        <v>0.23287671232876711</v>
      </c>
    </row>
    <row r="69" spans="1:8">
      <c r="A69" s="7">
        <v>0</v>
      </c>
      <c r="B69" s="27">
        <v>-100</v>
      </c>
      <c r="C69" s="117">
        <v>0</v>
      </c>
      <c r="D69" s="117">
        <f>-PV($B$75,A69,,B69)</f>
        <v>-100</v>
      </c>
      <c r="E69" s="118">
        <v>-100</v>
      </c>
      <c r="F69">
        <f>3+F68</f>
        <v>3.2328767123287672</v>
      </c>
    </row>
    <row r="70" spans="1:8">
      <c r="A70" s="7">
        <v>1</v>
      </c>
      <c r="B70" s="28">
        <v>20</v>
      </c>
      <c r="C70" s="117">
        <v>-100</v>
      </c>
      <c r="D70" s="117">
        <f>-PV($B$75,A70,,B70)</f>
        <v>18.219555648965262</v>
      </c>
      <c r="E70" s="118">
        <f>E69+D70</f>
        <v>-81.780444351034731</v>
      </c>
    </row>
    <row r="71" spans="1:8">
      <c r="A71" s="7">
        <v>2</v>
      </c>
      <c r="B71" s="28">
        <v>40</v>
      </c>
      <c r="C71" s="117">
        <f>E70</f>
        <v>-81.780444351034731</v>
      </c>
      <c r="D71" s="117">
        <f>-PV($B$75,A71,,B71)</f>
        <v>33.195220804574191</v>
      </c>
      <c r="E71" s="118">
        <f>E70+D71</f>
        <v>-48.58522354646054</v>
      </c>
    </row>
    <row r="72" spans="1:8">
      <c r="A72" s="7">
        <v>3</v>
      </c>
      <c r="B72" s="28">
        <v>50</v>
      </c>
      <c r="C72" s="117">
        <f>E71</f>
        <v>-48.58522354646054</v>
      </c>
      <c r="D72" s="117">
        <f>-PV($B$75,A72,,B72)</f>
        <v>37.800135795539305</v>
      </c>
      <c r="E72" s="118">
        <f>E71+D72</f>
        <v>-10.785087750921235</v>
      </c>
      <c r="G72" s="114">
        <f>E72/D73</f>
        <v>-0.26100047138656468</v>
      </c>
      <c r="H72" s="114">
        <f>3+(-G72)</f>
        <v>3.2610004713865646</v>
      </c>
    </row>
    <row r="73" spans="1:8">
      <c r="A73" s="10">
        <v>4</v>
      </c>
      <c r="B73" s="12">
        <v>60</v>
      </c>
      <c r="C73" s="119">
        <f>E72</f>
        <v>-10.785087750921235</v>
      </c>
      <c r="D73" s="119">
        <f>-PV($B$75,A73,,B73)</f>
        <v>41.322100659916323</v>
      </c>
      <c r="E73" s="120">
        <f>E72+D73</f>
        <v>30.537012908995088</v>
      </c>
      <c r="H73" s="13"/>
    </row>
    <row r="75" spans="1:8">
      <c r="A75" t="s">
        <v>330</v>
      </c>
      <c r="B75" s="116">
        <f>G25</f>
        <v>9.7721612169825722E-2</v>
      </c>
    </row>
    <row r="77" spans="1:8">
      <c r="A77" t="s">
        <v>331</v>
      </c>
      <c r="D77">
        <v>3.26</v>
      </c>
      <c r="E77" t="s">
        <v>28</v>
      </c>
    </row>
    <row r="79" spans="1:8">
      <c r="A79" t="s">
        <v>332</v>
      </c>
    </row>
    <row r="80" spans="1:8">
      <c r="A80" t="s">
        <v>333</v>
      </c>
      <c r="B80" t="s">
        <v>334</v>
      </c>
    </row>
    <row r="81" spans="2:3">
      <c r="B81" t="s">
        <v>335</v>
      </c>
    </row>
    <row r="83" spans="2:3">
      <c r="B83" s="114">
        <f>SUM(D70:D73)</f>
        <v>130.53701290899508</v>
      </c>
      <c r="C83" s="13">
        <f>NPV(B75,B70:B73)</f>
        <v>130.53701290899508</v>
      </c>
    </row>
    <row r="84" spans="2:3" ht="16" thickBot="1">
      <c r="B84" s="121">
        <f>-B69</f>
        <v>100</v>
      </c>
      <c r="C84">
        <f>100</f>
        <v>100</v>
      </c>
    </row>
    <row r="85" spans="2:3" ht="16" thickTop="1">
      <c r="B85" s="114">
        <f>B83/B84</f>
        <v>1.3053701290899509</v>
      </c>
      <c r="C85" s="114">
        <f>C83/C84</f>
        <v>1.3053701290899509</v>
      </c>
    </row>
  </sheetData>
  <sortState ref="G47">
    <sortCondition descending="1" ref="G47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53" workbookViewId="0">
      <selection activeCell="A68" sqref="A68"/>
    </sheetView>
  </sheetViews>
  <sheetFormatPr baseColWidth="10" defaultRowHeight="15" x14ac:dyDescent="0"/>
  <sheetData>
    <row r="1" spans="1:8">
      <c r="A1" s="2" t="s">
        <v>279</v>
      </c>
    </row>
    <row r="3" spans="1:8">
      <c r="A3" s="122" t="s">
        <v>280</v>
      </c>
      <c r="B3" s="122"/>
      <c r="C3" s="122"/>
      <c r="D3" s="122"/>
      <c r="E3" s="122"/>
      <c r="F3" s="122"/>
      <c r="G3" s="122"/>
      <c r="H3" s="122"/>
    </row>
    <row r="4" spans="1:8">
      <c r="A4" s="122"/>
      <c r="B4" s="122"/>
      <c r="C4" s="122"/>
      <c r="D4" s="122"/>
      <c r="E4" s="122"/>
      <c r="F4" s="122"/>
      <c r="G4" s="122"/>
      <c r="H4" s="122"/>
    </row>
    <row r="5" spans="1:8">
      <c r="A5" s="122"/>
      <c r="B5" s="122"/>
      <c r="C5" s="122"/>
      <c r="D5" s="122"/>
      <c r="E5" s="122"/>
      <c r="F5" s="122"/>
      <c r="G5" s="122"/>
      <c r="H5" s="122"/>
    </row>
    <row r="6" spans="1:8">
      <c r="A6" s="122"/>
      <c r="B6" s="122"/>
      <c r="C6" s="122"/>
      <c r="D6" s="122"/>
      <c r="E6" s="122"/>
      <c r="F6" s="122"/>
      <c r="G6" s="122"/>
      <c r="H6" s="122"/>
    </row>
    <row r="7" spans="1:8">
      <c r="A7" s="122"/>
      <c r="B7" s="122"/>
      <c r="C7" s="122"/>
      <c r="D7" s="122"/>
      <c r="E7" s="122"/>
      <c r="F7" s="122"/>
      <c r="G7" s="122"/>
      <c r="H7" s="122"/>
    </row>
    <row r="8" spans="1:8">
      <c r="A8" s="122"/>
      <c r="B8" s="122"/>
      <c r="C8" s="122"/>
      <c r="D8" s="122"/>
      <c r="E8" s="122"/>
      <c r="F8" s="122"/>
      <c r="G8" s="122"/>
      <c r="H8" s="122"/>
    </row>
    <row r="9" spans="1:8">
      <c r="A9" s="122"/>
      <c r="B9" s="122"/>
      <c r="C9" s="122"/>
      <c r="D9" s="122"/>
      <c r="E9" s="122"/>
      <c r="F9" s="122"/>
      <c r="G9" s="122"/>
      <c r="H9" s="122"/>
    </row>
    <row r="10" spans="1:8">
      <c r="A10" s="2" t="s">
        <v>281</v>
      </c>
      <c r="B10" s="2"/>
      <c r="C10" s="2"/>
      <c r="D10" s="2"/>
      <c r="E10" s="2"/>
      <c r="F10" s="2"/>
    </row>
    <row r="11" spans="1:8">
      <c r="A11" s="2" t="s">
        <v>284</v>
      </c>
      <c r="B11" s="2"/>
      <c r="C11" s="2"/>
      <c r="D11" s="2"/>
      <c r="E11" s="2"/>
      <c r="F11" s="2"/>
    </row>
    <row r="12" spans="1:8">
      <c r="A12" s="2" t="s">
        <v>290</v>
      </c>
      <c r="B12" s="2"/>
      <c r="C12" s="2"/>
      <c r="D12" s="2"/>
    </row>
    <row r="13" spans="1:8">
      <c r="A13" s="103" t="s">
        <v>310</v>
      </c>
    </row>
    <row r="14" spans="1:8">
      <c r="A14" s="101" t="s">
        <v>47</v>
      </c>
      <c r="B14" t="s">
        <v>311</v>
      </c>
      <c r="C14" t="s">
        <v>312</v>
      </c>
    </row>
    <row r="15" spans="1:8">
      <c r="A15">
        <v>1</v>
      </c>
      <c r="B15">
        <v>80</v>
      </c>
      <c r="C15">
        <v>10</v>
      </c>
    </row>
    <row r="16" spans="1:8">
      <c r="A16">
        <v>2</v>
      </c>
      <c r="B16">
        <v>60</v>
      </c>
      <c r="C16">
        <v>50</v>
      </c>
    </row>
    <row r="17" spans="1:12">
      <c r="A17">
        <v>3</v>
      </c>
      <c r="B17">
        <v>40</v>
      </c>
      <c r="C17">
        <v>60</v>
      </c>
    </row>
    <row r="18" spans="1:12">
      <c r="A18">
        <v>4</v>
      </c>
      <c r="B18">
        <v>30</v>
      </c>
      <c r="C18">
        <v>70</v>
      </c>
    </row>
    <row r="20" spans="1:12">
      <c r="A20" t="s">
        <v>337</v>
      </c>
      <c r="J20" s="74" t="s">
        <v>339</v>
      </c>
    </row>
    <row r="21" spans="1:12">
      <c r="B21" t="s">
        <v>271</v>
      </c>
      <c r="C21" t="s">
        <v>231</v>
      </c>
      <c r="D21" t="s">
        <v>240</v>
      </c>
      <c r="E21" t="s">
        <v>341</v>
      </c>
      <c r="H21" t="s">
        <v>146</v>
      </c>
      <c r="I21">
        <f>102%*1000</f>
        <v>1020</v>
      </c>
    </row>
    <row r="22" spans="1:12">
      <c r="A22" t="s">
        <v>275</v>
      </c>
      <c r="B22">
        <f>10000*I21</f>
        <v>10200000</v>
      </c>
      <c r="C22">
        <f>B22/B25</f>
        <v>0.26614481409001955</v>
      </c>
      <c r="D22" s="1">
        <f>J25</f>
        <v>6.8153641532544981E-2</v>
      </c>
      <c r="E22" s="1">
        <v>0.35</v>
      </c>
      <c r="F22">
        <f>(C22*D22)*(1-E22)</f>
        <v>1.1790179865904063E-2</v>
      </c>
      <c r="H22" t="s">
        <v>267</v>
      </c>
      <c r="I22">
        <v>1000</v>
      </c>
      <c r="L22" t="s">
        <v>340</v>
      </c>
    </row>
    <row r="23" spans="1:12">
      <c r="A23" t="s">
        <v>273</v>
      </c>
      <c r="B23">
        <f>66.25*400000</f>
        <v>26500000</v>
      </c>
      <c r="C23">
        <f>B23/B25</f>
        <v>0.69145466405740375</v>
      </c>
      <c r="D23" s="18">
        <f>5.3/66.25+4%</f>
        <v>0.12</v>
      </c>
      <c r="F23">
        <f>C23*D23</f>
        <v>8.2974559686888452E-2</v>
      </c>
      <c r="H23" t="s">
        <v>288</v>
      </c>
      <c r="I23">
        <v>35</v>
      </c>
      <c r="J23">
        <f>7%*1000</f>
        <v>70</v>
      </c>
    </row>
    <row r="24" spans="1:12">
      <c r="A24" t="s">
        <v>274</v>
      </c>
      <c r="B24">
        <f>25000*65</f>
        <v>1625000</v>
      </c>
      <c r="C24">
        <f>B24/B25</f>
        <v>4.2400521852576645E-2</v>
      </c>
      <c r="D24" s="1">
        <f>5/65</f>
        <v>7.6923076923076927E-2</v>
      </c>
      <c r="F24">
        <f>C24*D24</f>
        <v>3.2615786040443573E-3</v>
      </c>
      <c r="H24" t="s">
        <v>287</v>
      </c>
      <c r="I24">
        <v>40</v>
      </c>
    </row>
    <row r="25" spans="1:12">
      <c r="B25">
        <f>SUM(B22:B24)</f>
        <v>38325000</v>
      </c>
      <c r="C25">
        <f>SUM(C22:C24)</f>
        <v>1</v>
      </c>
      <c r="F25">
        <f>SUM(F22:F24)</f>
        <v>9.8026318156836878E-2</v>
      </c>
      <c r="G25" s="18">
        <f>F25</f>
        <v>9.8026318156836878E-2</v>
      </c>
      <c r="H25" t="s">
        <v>338</v>
      </c>
      <c r="I25" s="1">
        <f>RATE(I24,I23,-I21,I22)</f>
        <v>3.4076820766272491E-2</v>
      </c>
      <c r="J25">
        <f>I25*2</f>
        <v>6.8153641532544981E-2</v>
      </c>
    </row>
    <row r="26" spans="1:12">
      <c r="F26" t="s">
        <v>235</v>
      </c>
      <c r="G26" s="18">
        <f>G25</f>
        <v>9.8026318156836878E-2</v>
      </c>
    </row>
    <row r="27" spans="1:12">
      <c r="A27" s="101" t="s">
        <v>47</v>
      </c>
      <c r="B27" t="s">
        <v>311</v>
      </c>
      <c r="C27" t="s">
        <v>312</v>
      </c>
      <c r="D27" t="s">
        <v>322</v>
      </c>
    </row>
    <row r="28" spans="1:12">
      <c r="A28">
        <v>0</v>
      </c>
      <c r="B28">
        <v>-100</v>
      </c>
      <c r="C28">
        <v>-100</v>
      </c>
      <c r="D28">
        <f>B28-C28</f>
        <v>0</v>
      </c>
    </row>
    <row r="29" spans="1:12">
      <c r="A29">
        <v>1</v>
      </c>
      <c r="B29">
        <v>80</v>
      </c>
      <c r="C29">
        <v>10</v>
      </c>
      <c r="D29">
        <f t="shared" ref="D29:D32" si="0">B29-C29</f>
        <v>70</v>
      </c>
    </row>
    <row r="30" spans="1:12">
      <c r="A30">
        <v>2</v>
      </c>
      <c r="B30">
        <v>60</v>
      </c>
      <c r="C30">
        <v>80</v>
      </c>
      <c r="D30">
        <f t="shared" si="0"/>
        <v>-20</v>
      </c>
    </row>
    <row r="31" spans="1:12">
      <c r="A31">
        <v>3</v>
      </c>
      <c r="B31">
        <v>40</v>
      </c>
      <c r="C31">
        <v>60</v>
      </c>
      <c r="D31">
        <f t="shared" si="0"/>
        <v>-20</v>
      </c>
    </row>
    <row r="32" spans="1:12">
      <c r="A32">
        <v>4</v>
      </c>
      <c r="B32">
        <v>30</v>
      </c>
      <c r="C32">
        <v>70</v>
      </c>
      <c r="D32">
        <f t="shared" si="0"/>
        <v>-40</v>
      </c>
    </row>
    <row r="34" spans="1:4">
      <c r="A34" t="s">
        <v>319</v>
      </c>
    </row>
    <row r="35" spans="1:4">
      <c r="A35" s="2" t="s">
        <v>321</v>
      </c>
    </row>
    <row r="36" spans="1:4">
      <c r="A36" t="s">
        <v>325</v>
      </c>
    </row>
    <row r="38" spans="1:4">
      <c r="A38" t="s">
        <v>329</v>
      </c>
    </row>
    <row r="39" spans="1:4">
      <c r="A39" t="s">
        <v>332</v>
      </c>
    </row>
    <row r="41" spans="1:4">
      <c r="B41" t="s">
        <v>323</v>
      </c>
      <c r="C41" t="s">
        <v>324</v>
      </c>
    </row>
    <row r="42" spans="1:4">
      <c r="A42" t="s">
        <v>57</v>
      </c>
      <c r="B42" s="107">
        <f>NPV(G26,B29:B32)+B28</f>
        <v>73.476264589161985</v>
      </c>
      <c r="C42" s="13">
        <f>NPV(G26,C29:C32)+C28</f>
        <v>68.938886992673503</v>
      </c>
    </row>
    <row r="43" spans="1:4">
      <c r="A43" t="s">
        <v>58</v>
      </c>
      <c r="B43" s="108">
        <f>IRR(B28:B32)</f>
        <v>0.48032894806177762</v>
      </c>
      <c r="C43" s="1">
        <f>IRR(C28:C32)</f>
        <v>0.33313462400858973</v>
      </c>
    </row>
    <row r="45" spans="1:4">
      <c r="A45" t="s">
        <v>321</v>
      </c>
      <c r="C45" s="108">
        <f>IRR(D28:D32)</f>
        <v>6.1730122783483443E-2</v>
      </c>
    </row>
    <row r="46" spans="1:4">
      <c r="A46" t="s">
        <v>342</v>
      </c>
    </row>
    <row r="47" spans="1:4">
      <c r="A47" t="s">
        <v>47</v>
      </c>
      <c r="B47" t="s">
        <v>326</v>
      </c>
      <c r="C47" t="s">
        <v>108</v>
      </c>
      <c r="D47" t="s">
        <v>109</v>
      </c>
    </row>
    <row r="48" spans="1:4">
      <c r="A48">
        <v>0</v>
      </c>
      <c r="B48">
        <v>0</v>
      </c>
      <c r="C48">
        <v>-100</v>
      </c>
      <c r="D48">
        <f>C48</f>
        <v>-100</v>
      </c>
    </row>
    <row r="49" spans="1:8">
      <c r="A49">
        <v>1</v>
      </c>
      <c r="B49">
        <f>D48</f>
        <v>-100</v>
      </c>
      <c r="C49">
        <v>80</v>
      </c>
      <c r="D49">
        <f>D48+C49</f>
        <v>-20</v>
      </c>
      <c r="F49">
        <v>1</v>
      </c>
      <c r="H49">
        <f>D49/C50</f>
        <v>-0.33333333333333331</v>
      </c>
    </row>
    <row r="50" spans="1:8">
      <c r="A50">
        <v>2</v>
      </c>
      <c r="B50">
        <f>D49</f>
        <v>-20</v>
      </c>
      <c r="C50">
        <v>60</v>
      </c>
      <c r="D50">
        <f>D49+C50</f>
        <v>40</v>
      </c>
      <c r="F50">
        <f>-H49</f>
        <v>0.33333333333333331</v>
      </c>
      <c r="G50">
        <f>F50*12</f>
        <v>4</v>
      </c>
    </row>
    <row r="51" spans="1:8">
      <c r="A51">
        <v>3</v>
      </c>
      <c r="B51">
        <v>40</v>
      </c>
      <c r="F51" t="s">
        <v>343</v>
      </c>
    </row>
    <row r="52" spans="1:8">
      <c r="A52">
        <v>4</v>
      </c>
      <c r="F52" t="s">
        <v>117</v>
      </c>
    </row>
    <row r="55" spans="1:8">
      <c r="A55" t="s">
        <v>344</v>
      </c>
    </row>
    <row r="56" spans="1:8">
      <c r="A56" t="s">
        <v>47</v>
      </c>
      <c r="B56" t="s">
        <v>108</v>
      </c>
      <c r="C56" t="s">
        <v>146</v>
      </c>
      <c r="D56" t="s">
        <v>345</v>
      </c>
      <c r="E56" t="s">
        <v>109</v>
      </c>
    </row>
    <row r="57" spans="1:8">
      <c r="A57">
        <v>0</v>
      </c>
      <c r="B57">
        <v>-100</v>
      </c>
      <c r="C57" s="13">
        <f>-PV(G26,A57,0,B57)</f>
        <v>-100</v>
      </c>
      <c r="D57">
        <f>0</f>
        <v>0</v>
      </c>
      <c r="E57" s="13">
        <f>C57</f>
        <v>-100</v>
      </c>
    </row>
    <row r="58" spans="1:8">
      <c r="A58">
        <v>1</v>
      </c>
      <c r="B58">
        <v>10</v>
      </c>
      <c r="C58" s="13">
        <f>-PV($G$26,A58,0,B58)</f>
        <v>9.1072498305743235</v>
      </c>
      <c r="D58" s="13">
        <f>E57</f>
        <v>-100</v>
      </c>
      <c r="E58" s="13">
        <f>D58+C58</f>
        <v>-90.892750169425682</v>
      </c>
      <c r="F58">
        <v>1</v>
      </c>
    </row>
    <row r="59" spans="1:8">
      <c r="A59">
        <v>2</v>
      </c>
      <c r="B59">
        <v>80</v>
      </c>
      <c r="C59" s="13">
        <f t="shared" ref="C59:C60" si="1">-PV($G$26,A59,0,B59)</f>
        <v>66.353599581196832</v>
      </c>
      <c r="D59" s="13">
        <f t="shared" ref="D59:D61" si="2">E58</f>
        <v>-90.892750169425682</v>
      </c>
      <c r="E59" s="13">
        <f t="shared" ref="E59:E61" si="3">D59+C59</f>
        <v>-24.53915058822885</v>
      </c>
      <c r="F59">
        <v>2</v>
      </c>
    </row>
    <row r="60" spans="1:8">
      <c r="A60">
        <v>3</v>
      </c>
      <c r="B60">
        <v>60</v>
      </c>
      <c r="C60" s="13">
        <f t="shared" si="1"/>
        <v>45.322410640788846</v>
      </c>
      <c r="D60" s="13">
        <f t="shared" si="2"/>
        <v>-24.53915058822885</v>
      </c>
      <c r="E60" s="13">
        <f t="shared" si="3"/>
        <v>20.783260052559996</v>
      </c>
      <c r="F60">
        <f>-G60</f>
        <v>0.54143524674180354</v>
      </c>
      <c r="G60">
        <f>E59/C60</f>
        <v>-0.54143524674180354</v>
      </c>
    </row>
    <row r="61" spans="1:8">
      <c r="A61">
        <v>4</v>
      </c>
      <c r="B61">
        <v>70</v>
      </c>
      <c r="C61" s="13">
        <f>-PV($G$26,A61,0,B61)</f>
        <v>48.155626940113486</v>
      </c>
      <c r="D61" s="13">
        <f t="shared" si="2"/>
        <v>20.783260052559996</v>
      </c>
      <c r="E61" s="13">
        <f t="shared" si="3"/>
        <v>68.938886992673474</v>
      </c>
      <c r="F61">
        <f>2+F60</f>
        <v>2.5414352467418038</v>
      </c>
    </row>
    <row r="62" spans="1:8">
      <c r="G62" t="s">
        <v>346</v>
      </c>
    </row>
    <row r="65" spans="1:1">
      <c r="A65" t="s">
        <v>347</v>
      </c>
    </row>
    <row r="66" spans="1:1">
      <c r="A66" s="13">
        <f>NPV(G26,C29:C32)</f>
        <v>168.9388869926735</v>
      </c>
    </row>
    <row r="67" spans="1:1">
      <c r="A67" s="13">
        <f>A66/C28</f>
        <v>-1.689388869926735</v>
      </c>
    </row>
  </sheetData>
  <mergeCells count="1">
    <mergeCell ref="A3:H9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chapter 9 example</vt:lpstr>
      <vt:lpstr>question1</vt:lpstr>
      <vt:lpstr>question 2</vt:lpstr>
      <vt:lpstr>chapter 14</vt:lpstr>
      <vt:lpstr>#1</vt:lpstr>
      <vt:lpstr>#2</vt:lpstr>
      <vt:lpstr>#3</vt:lpstr>
      <vt:lpstr>Sheet1</vt:lpstr>
      <vt:lpstr>practice exam question</vt:lpstr>
      <vt:lpstr>Sheet2</vt:lpstr>
    </vt:vector>
  </TitlesOfParts>
  <Company>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 Pham</dc:creator>
  <cp:lastModifiedBy>Long Pham</cp:lastModifiedBy>
  <dcterms:created xsi:type="dcterms:W3CDTF">2015-03-25T14:08:05Z</dcterms:created>
  <dcterms:modified xsi:type="dcterms:W3CDTF">2015-04-19T04:36:01Z</dcterms:modified>
</cp:coreProperties>
</file>