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codeName="ThisWorkbook" autoCompressPictures="0"/>
  <bookViews>
    <workbookView xWindow="0" yWindow="0" windowWidth="25600" windowHeight="15540" tabRatio="601"/>
  </bookViews>
  <sheets>
    <sheet name="Group Details" sheetId="17" r:id="rId1"/>
    <sheet name="Cost of capital" sheetId="15" r:id="rId2"/>
    <sheet name="Cash flow forecasting" sheetId="16" r:id="rId3"/>
    <sheet name="DGM" sheetId="20" r:id="rId4"/>
    <sheet name="CAPM" sheetId="19" r:id="rId5"/>
    <sheet name="What is the AT Cost of Debt" sheetId="18" r:id="rId6"/>
    <sheet name="WACC" sheetId="27" r:id="rId7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65" i="15" l="1"/>
  <c r="L61" i="15"/>
  <c r="L60" i="15"/>
  <c r="I2" i="19"/>
  <c r="I3" i="19"/>
  <c r="I4" i="19"/>
  <c r="I5" i="19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2" i="19"/>
  <c r="I53" i="19"/>
  <c r="I54" i="19"/>
  <c r="I55" i="19"/>
  <c r="I56" i="19"/>
  <c r="I57" i="19"/>
  <c r="I58" i="19"/>
  <c r="I59" i="19"/>
  <c r="I60" i="19"/>
  <c r="I61" i="19"/>
  <c r="I62" i="19"/>
  <c r="I63" i="19"/>
  <c r="I64" i="19"/>
  <c r="I65" i="19"/>
  <c r="I66" i="19"/>
  <c r="I67" i="19"/>
  <c r="I69" i="19"/>
  <c r="G78" i="19"/>
  <c r="G81" i="19"/>
  <c r="N65" i="15"/>
  <c r="G9" i="27"/>
  <c r="N61" i="15"/>
  <c r="G8" i="27"/>
  <c r="N60" i="15"/>
  <c r="N58" i="15"/>
  <c r="N57" i="15"/>
  <c r="N56" i="15"/>
  <c r="M61" i="15"/>
  <c r="M60" i="15"/>
  <c r="M58" i="15"/>
  <c r="M57" i="15"/>
  <c r="M56" i="15"/>
  <c r="L58" i="15"/>
  <c r="L57" i="15"/>
  <c r="L56" i="15"/>
  <c r="M44" i="15"/>
  <c r="M40" i="15"/>
  <c r="M39" i="15"/>
  <c r="M38" i="15"/>
  <c r="M47" i="15"/>
  <c r="N38" i="15"/>
  <c r="N39" i="15"/>
  <c r="C2" i="19"/>
  <c r="C3" i="19"/>
  <c r="C4" i="19"/>
  <c r="C5" i="19"/>
  <c r="C6" i="19"/>
  <c r="C7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4" i="19"/>
  <c r="C65" i="19"/>
  <c r="C66" i="19"/>
  <c r="C67" i="19"/>
  <c r="C68" i="19"/>
  <c r="C69" i="19"/>
  <c r="C70" i="19"/>
  <c r="C71" i="19"/>
  <c r="C72" i="19"/>
  <c r="C73" i="19"/>
  <c r="C74" i="19"/>
  <c r="C75" i="19"/>
  <c r="C76" i="19"/>
  <c r="C77" i="19"/>
  <c r="C78" i="19"/>
  <c r="C79" i="19"/>
  <c r="C80" i="19"/>
  <c r="C81" i="19"/>
  <c r="C82" i="19"/>
  <c r="C83" i="19"/>
  <c r="C84" i="19"/>
  <c r="C85" i="19"/>
  <c r="C86" i="19"/>
  <c r="C87" i="19"/>
  <c r="C88" i="19"/>
  <c r="C89" i="19"/>
  <c r="C90" i="19"/>
  <c r="C91" i="19"/>
  <c r="C92" i="19"/>
  <c r="C93" i="19"/>
  <c r="C94" i="19"/>
  <c r="C95" i="19"/>
  <c r="C96" i="19"/>
  <c r="C97" i="19"/>
  <c r="C98" i="19"/>
  <c r="C99" i="19"/>
  <c r="C100" i="19"/>
  <c r="C101" i="19"/>
  <c r="C102" i="19"/>
  <c r="C103" i="19"/>
  <c r="C104" i="19"/>
  <c r="C105" i="19"/>
  <c r="C106" i="19"/>
  <c r="C107" i="19"/>
  <c r="C108" i="19"/>
  <c r="C109" i="19"/>
  <c r="C110" i="19"/>
  <c r="C111" i="19"/>
  <c r="C112" i="19"/>
  <c r="C113" i="19"/>
  <c r="C114" i="19"/>
  <c r="C115" i="19"/>
  <c r="L12" i="15"/>
  <c r="L5" i="15"/>
  <c r="L6" i="15"/>
  <c r="L8" i="15"/>
  <c r="L21" i="15"/>
  <c r="D4" i="20"/>
  <c r="D5" i="20"/>
  <c r="D8" i="20"/>
  <c r="F16" i="27"/>
  <c r="B47" i="18"/>
  <c r="F6" i="27"/>
  <c r="G6" i="27"/>
  <c r="F47" i="18"/>
  <c r="L31" i="15"/>
  <c r="L32" i="15"/>
  <c r="C34" i="18"/>
  <c r="C38" i="18"/>
  <c r="C40" i="18"/>
  <c r="C31" i="18"/>
  <c r="C10" i="18"/>
  <c r="C13" i="18"/>
  <c r="C17" i="18"/>
  <c r="C19" i="18"/>
  <c r="J2" i="19"/>
  <c r="J3" i="19"/>
  <c r="J4" i="19"/>
  <c r="J5" i="19"/>
  <c r="J6" i="19"/>
  <c r="J7" i="19"/>
  <c r="J8" i="19"/>
  <c r="J9" i="19"/>
  <c r="J10" i="19"/>
  <c r="J11" i="19"/>
  <c r="J12" i="19"/>
  <c r="J13" i="19"/>
  <c r="J14" i="19"/>
  <c r="J15" i="19"/>
  <c r="J16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35" i="19"/>
  <c r="J36" i="19"/>
  <c r="J37" i="19"/>
  <c r="J38" i="19"/>
  <c r="J39" i="19"/>
  <c r="J40" i="19"/>
  <c r="J41" i="19"/>
  <c r="J42" i="19"/>
  <c r="J43" i="19"/>
  <c r="J44" i="19"/>
  <c r="J45" i="19"/>
  <c r="J46" i="19"/>
  <c r="J47" i="19"/>
  <c r="J48" i="19"/>
  <c r="J49" i="19"/>
  <c r="J50" i="19"/>
  <c r="J51" i="19"/>
  <c r="J52" i="19"/>
  <c r="J53" i="19"/>
  <c r="J54" i="19"/>
  <c r="J55" i="19"/>
  <c r="J56" i="19"/>
  <c r="J57" i="19"/>
  <c r="J58" i="19"/>
  <c r="J59" i="19"/>
  <c r="J60" i="19"/>
  <c r="J61" i="19"/>
  <c r="J62" i="19"/>
  <c r="J63" i="19"/>
  <c r="J64" i="19"/>
  <c r="J65" i="19"/>
  <c r="J66" i="19"/>
  <c r="J67" i="19"/>
  <c r="K2" i="19"/>
  <c r="K3" i="19"/>
  <c r="K4" i="19"/>
  <c r="K5" i="19"/>
  <c r="K6" i="19"/>
  <c r="K7" i="19"/>
  <c r="K8" i="19"/>
  <c r="K9" i="19"/>
  <c r="K10" i="19"/>
  <c r="K11" i="19"/>
  <c r="K12" i="19"/>
  <c r="K13" i="19"/>
  <c r="K14" i="19"/>
  <c r="K15" i="19"/>
  <c r="K16" i="19"/>
  <c r="K17" i="19"/>
  <c r="K18" i="19"/>
  <c r="K19" i="19"/>
  <c r="K20" i="19"/>
  <c r="K21" i="19"/>
  <c r="K22" i="19"/>
  <c r="K23" i="19"/>
  <c r="K24" i="19"/>
  <c r="K25" i="19"/>
  <c r="K26" i="19"/>
  <c r="K27" i="19"/>
  <c r="K28" i="19"/>
  <c r="K29" i="19"/>
  <c r="K30" i="19"/>
  <c r="K31" i="19"/>
  <c r="K32" i="19"/>
  <c r="K33" i="19"/>
  <c r="K34" i="19"/>
  <c r="K35" i="19"/>
  <c r="K36" i="19"/>
  <c r="K37" i="19"/>
  <c r="K38" i="19"/>
  <c r="K39" i="19"/>
  <c r="K40" i="19"/>
  <c r="K41" i="19"/>
  <c r="K42" i="19"/>
  <c r="K43" i="19"/>
  <c r="K44" i="19"/>
  <c r="K45" i="19"/>
  <c r="K46" i="19"/>
  <c r="K47" i="19"/>
  <c r="K48" i="19"/>
  <c r="K49" i="19"/>
  <c r="K50" i="19"/>
  <c r="K51" i="19"/>
  <c r="K52" i="19"/>
  <c r="K53" i="19"/>
  <c r="K54" i="19"/>
  <c r="K55" i="19"/>
  <c r="K56" i="19"/>
  <c r="K57" i="19"/>
  <c r="K58" i="19"/>
  <c r="K59" i="19"/>
  <c r="K60" i="19"/>
  <c r="K61" i="19"/>
  <c r="K62" i="19"/>
  <c r="K63" i="19"/>
  <c r="K64" i="19"/>
  <c r="K65" i="19"/>
  <c r="K66" i="19"/>
  <c r="K67" i="19"/>
  <c r="L2" i="19"/>
  <c r="L3" i="19"/>
  <c r="L4" i="19"/>
  <c r="L5" i="19"/>
  <c r="L6" i="19"/>
  <c r="L7" i="19"/>
  <c r="L8" i="19"/>
  <c r="L9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L44" i="19"/>
  <c r="L45" i="19"/>
  <c r="L46" i="19"/>
  <c r="L47" i="19"/>
  <c r="L48" i="19"/>
  <c r="L49" i="19"/>
  <c r="L50" i="19"/>
  <c r="L51" i="19"/>
  <c r="L52" i="19"/>
  <c r="L53" i="19"/>
  <c r="L54" i="19"/>
  <c r="L55" i="19"/>
  <c r="L56" i="19"/>
  <c r="L57" i="19"/>
  <c r="L58" i="19"/>
  <c r="L59" i="19"/>
  <c r="L60" i="19"/>
  <c r="L61" i="19"/>
  <c r="L62" i="19"/>
  <c r="L63" i="19"/>
  <c r="L64" i="19"/>
  <c r="L65" i="19"/>
  <c r="L66" i="19"/>
  <c r="L67" i="19"/>
  <c r="N3" i="19"/>
  <c r="N4" i="19"/>
  <c r="N5" i="19"/>
  <c r="N6" i="19"/>
  <c r="N7" i="19"/>
  <c r="N8" i="19"/>
  <c r="N9" i="19"/>
  <c r="N10" i="19"/>
  <c r="N11" i="19"/>
  <c r="N12" i="19"/>
  <c r="N13" i="19"/>
  <c r="N14" i="19"/>
  <c r="N15" i="19"/>
  <c r="N16" i="19"/>
  <c r="N17" i="19"/>
  <c r="N18" i="19"/>
  <c r="N19" i="19"/>
  <c r="N20" i="19"/>
  <c r="N21" i="19"/>
  <c r="N22" i="19"/>
  <c r="N23" i="19"/>
  <c r="N24" i="19"/>
  <c r="N25" i="19"/>
  <c r="N26" i="19"/>
  <c r="N27" i="19"/>
  <c r="N28" i="19"/>
  <c r="N29" i="19"/>
  <c r="N30" i="19"/>
  <c r="N31" i="19"/>
  <c r="N32" i="19"/>
  <c r="N33" i="19"/>
  <c r="N34" i="19"/>
  <c r="N35" i="19"/>
  <c r="N36" i="19"/>
  <c r="N37" i="19"/>
  <c r="N38" i="19"/>
  <c r="N39" i="19"/>
  <c r="N40" i="19"/>
  <c r="N41" i="19"/>
  <c r="N42" i="19"/>
  <c r="N43" i="19"/>
  <c r="N44" i="19"/>
  <c r="N45" i="19"/>
  <c r="N46" i="19"/>
  <c r="N47" i="19"/>
  <c r="N48" i="19"/>
  <c r="N49" i="19"/>
  <c r="N50" i="19"/>
  <c r="N51" i="19"/>
  <c r="N52" i="19"/>
  <c r="N53" i="19"/>
  <c r="N54" i="19"/>
  <c r="N55" i="19"/>
  <c r="N56" i="19"/>
  <c r="N57" i="19"/>
  <c r="N58" i="19"/>
  <c r="N59" i="19"/>
  <c r="N60" i="19"/>
  <c r="N61" i="19"/>
  <c r="N62" i="19"/>
  <c r="N63" i="19"/>
  <c r="N64" i="19"/>
  <c r="N65" i="19"/>
  <c r="N66" i="19"/>
  <c r="N67" i="19"/>
  <c r="N2" i="19"/>
  <c r="M2" i="19"/>
  <c r="M3" i="19"/>
  <c r="M4" i="19"/>
  <c r="M5" i="19"/>
  <c r="M6" i="19"/>
  <c r="M7" i="19"/>
  <c r="M8" i="19"/>
  <c r="M9" i="19"/>
  <c r="M10" i="19"/>
  <c r="M11" i="19"/>
  <c r="M12" i="19"/>
  <c r="M13" i="19"/>
  <c r="M14" i="19"/>
  <c r="M15" i="19"/>
  <c r="M16" i="19"/>
  <c r="M17" i="19"/>
  <c r="M18" i="19"/>
  <c r="M19" i="19"/>
  <c r="M20" i="19"/>
  <c r="M21" i="19"/>
  <c r="M22" i="19"/>
  <c r="M23" i="19"/>
  <c r="M24" i="19"/>
  <c r="M25" i="19"/>
  <c r="M26" i="19"/>
  <c r="M27" i="19"/>
  <c r="M28" i="19"/>
  <c r="M29" i="19"/>
  <c r="M30" i="19"/>
  <c r="M31" i="19"/>
  <c r="M32" i="19"/>
  <c r="M33" i="19"/>
  <c r="M34" i="19"/>
  <c r="M35" i="19"/>
  <c r="M36" i="19"/>
  <c r="M37" i="19"/>
  <c r="M38" i="19"/>
  <c r="M39" i="19"/>
  <c r="M40" i="19"/>
  <c r="M41" i="19"/>
  <c r="M42" i="19"/>
  <c r="M43" i="19"/>
  <c r="M44" i="19"/>
  <c r="M45" i="19"/>
  <c r="M46" i="19"/>
  <c r="M47" i="19"/>
  <c r="M48" i="19"/>
  <c r="M49" i="19"/>
  <c r="M50" i="19"/>
  <c r="M51" i="19"/>
  <c r="M52" i="19"/>
  <c r="M53" i="19"/>
  <c r="M54" i="19"/>
  <c r="M55" i="19"/>
  <c r="M56" i="19"/>
  <c r="M57" i="19"/>
  <c r="M58" i="19"/>
  <c r="M59" i="19"/>
  <c r="M60" i="19"/>
  <c r="M61" i="19"/>
  <c r="M62" i="19"/>
  <c r="M63" i="19"/>
  <c r="M64" i="19"/>
  <c r="M65" i="19"/>
  <c r="M66" i="19"/>
  <c r="M67" i="19"/>
  <c r="H3" i="19"/>
  <c r="H4" i="19"/>
  <c r="H5" i="19"/>
  <c r="H6" i="19"/>
  <c r="H7" i="19"/>
  <c r="H8" i="19"/>
  <c r="H9" i="19"/>
  <c r="H10" i="19"/>
  <c r="H11" i="19"/>
  <c r="H12" i="19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31" i="19"/>
  <c r="H32" i="19"/>
  <c r="H33" i="19"/>
  <c r="H34" i="19"/>
  <c r="H35" i="19"/>
  <c r="H36" i="19"/>
  <c r="H37" i="19"/>
  <c r="H38" i="19"/>
  <c r="H39" i="19"/>
  <c r="H40" i="19"/>
  <c r="H41" i="19"/>
  <c r="H42" i="19"/>
  <c r="H43" i="19"/>
  <c r="H44" i="19"/>
  <c r="H45" i="19"/>
  <c r="H46" i="19"/>
  <c r="H47" i="19"/>
  <c r="H48" i="19"/>
  <c r="H49" i="19"/>
  <c r="H50" i="19"/>
  <c r="H51" i="19"/>
  <c r="H52" i="19"/>
  <c r="H53" i="19"/>
  <c r="H54" i="19"/>
  <c r="H55" i="19"/>
  <c r="H56" i="19"/>
  <c r="H57" i="19"/>
  <c r="H58" i="19"/>
  <c r="H59" i="19"/>
  <c r="H60" i="19"/>
  <c r="H61" i="19"/>
  <c r="H62" i="19"/>
  <c r="H63" i="19"/>
  <c r="H64" i="19"/>
  <c r="H65" i="19"/>
  <c r="H66" i="19"/>
  <c r="H67" i="19"/>
  <c r="H2" i="19"/>
  <c r="C51" i="16"/>
  <c r="D51" i="16"/>
  <c r="C32" i="16"/>
  <c r="C64" i="16"/>
  <c r="C30" i="16"/>
  <c r="C28" i="16"/>
  <c r="C43" i="16"/>
  <c r="C61" i="16"/>
  <c r="E40" i="16"/>
  <c r="F40" i="16"/>
  <c r="G40" i="16"/>
  <c r="C40" i="16"/>
  <c r="D40" i="16"/>
  <c r="C52" i="16"/>
  <c r="D52" i="16"/>
  <c r="E52" i="16"/>
  <c r="F52" i="16"/>
  <c r="G52" i="16"/>
  <c r="D28" i="16"/>
  <c r="E28" i="16"/>
  <c r="C50" i="16"/>
  <c r="C62" i="16"/>
  <c r="D29" i="16"/>
  <c r="D47" i="16"/>
  <c r="B33" i="16"/>
  <c r="B34" i="16"/>
  <c r="B40" i="16"/>
  <c r="C60" i="16"/>
  <c r="N40" i="15"/>
  <c r="N44" i="15"/>
  <c r="N47" i="15"/>
  <c r="N45" i="15"/>
  <c r="N41" i="15"/>
  <c r="N69" i="19"/>
  <c r="G74" i="19"/>
  <c r="L69" i="19"/>
  <c r="K69" i="19"/>
  <c r="L13" i="15"/>
  <c r="E2" i="19"/>
  <c r="L11" i="15"/>
  <c r="M69" i="19"/>
  <c r="J69" i="19"/>
  <c r="B42" i="18"/>
  <c r="L28" i="15"/>
  <c r="L29" i="15"/>
  <c r="E50" i="16"/>
  <c r="E47" i="16"/>
  <c r="E43" i="16"/>
  <c r="F28" i="16"/>
  <c r="E29" i="16"/>
  <c r="B21" i="18"/>
  <c r="L25" i="15"/>
  <c r="L26" i="15"/>
  <c r="F9" i="27"/>
  <c r="F8" i="27"/>
  <c r="D32" i="16"/>
  <c r="D64" i="16"/>
  <c r="E51" i="16"/>
  <c r="B35" i="16"/>
  <c r="D50" i="16"/>
  <c r="C47" i="16"/>
  <c r="D43" i="16"/>
  <c r="D61" i="16"/>
  <c r="C29" i="16"/>
  <c r="K30" i="18"/>
  <c r="J78" i="19"/>
  <c r="J81" i="19"/>
  <c r="H78" i="19"/>
  <c r="H81" i="19"/>
  <c r="I78" i="19"/>
  <c r="I81" i="19"/>
  <c r="L14" i="15"/>
  <c r="L15" i="15"/>
  <c r="K28" i="18"/>
  <c r="F4" i="27"/>
  <c r="G4" i="27"/>
  <c r="E61" i="16"/>
  <c r="D62" i="16"/>
  <c r="F51" i="16"/>
  <c r="F43" i="16"/>
  <c r="F61" i="16"/>
  <c r="F29" i="16"/>
  <c r="F47" i="16"/>
  <c r="G28" i="16"/>
  <c r="F50" i="16"/>
  <c r="B36" i="16"/>
  <c r="B37" i="16"/>
  <c r="E32" i="16"/>
  <c r="E64" i="16"/>
  <c r="E62" i="16"/>
  <c r="K29" i="18"/>
  <c r="F5" i="27"/>
  <c r="G5" i="27"/>
  <c r="G13" i="27"/>
  <c r="G51" i="16"/>
  <c r="G32" i="16"/>
  <c r="G64" i="16"/>
  <c r="F62" i="16"/>
  <c r="G29" i="16"/>
  <c r="G50" i="16"/>
  <c r="G43" i="16"/>
  <c r="G61" i="16"/>
  <c r="G47" i="16"/>
  <c r="F32" i="16"/>
  <c r="F64" i="16"/>
  <c r="G62" i="16"/>
  <c r="D60" i="16"/>
  <c r="E66" i="16"/>
  <c r="E59" i="16"/>
  <c r="C65" i="16"/>
  <c r="D66" i="16"/>
  <c r="D59" i="16"/>
  <c r="F48" i="16"/>
  <c r="D36" i="16"/>
  <c r="D35" i="16"/>
  <c r="D37" i="16"/>
  <c r="D30" i="16"/>
  <c r="D33" i="16"/>
  <c r="D34" i="16"/>
  <c r="F34" i="16"/>
  <c r="E60" i="16"/>
  <c r="D48" i="16"/>
  <c r="G34" i="16"/>
  <c r="E63" i="16"/>
  <c r="F66" i="16"/>
  <c r="F59" i="16"/>
  <c r="G60" i="16"/>
  <c r="F65" i="16"/>
  <c r="F31" i="16"/>
  <c r="E37" i="16"/>
  <c r="E35" i="16"/>
  <c r="E36" i="16"/>
  <c r="G37" i="16"/>
  <c r="G36" i="16"/>
  <c r="F60" i="16"/>
  <c r="C36" i="16"/>
  <c r="E30" i="16"/>
  <c r="E33" i="16"/>
  <c r="E34" i="16"/>
  <c r="F36" i="16"/>
  <c r="E45" i="16"/>
  <c r="F30" i="16"/>
  <c r="F33" i="16"/>
  <c r="F35" i="16"/>
  <c r="F37" i="16"/>
  <c r="D45" i="16"/>
  <c r="D63" i="16"/>
  <c r="C34" i="16"/>
  <c r="G48" i="16"/>
  <c r="G42" i="16"/>
  <c r="G54" i="16"/>
  <c r="G53" i="16"/>
  <c r="G63" i="16"/>
  <c r="G45" i="16"/>
  <c r="G46" i="16"/>
  <c r="C63" i="16"/>
  <c r="C48" i="16"/>
  <c r="G30" i="16"/>
  <c r="G33" i="16"/>
  <c r="G35" i="16"/>
  <c r="G59" i="16"/>
  <c r="G66" i="16"/>
  <c r="D54" i="16"/>
  <c r="D42" i="16"/>
  <c r="E31" i="16"/>
  <c r="E65" i="16"/>
  <c r="E54" i="16"/>
  <c r="E42" i="16"/>
  <c r="E48" i="16"/>
  <c r="D31" i="16"/>
  <c r="D65" i="16"/>
  <c r="D53" i="16"/>
  <c r="E53" i="16"/>
  <c r="F53" i="16"/>
  <c r="F54" i="16"/>
  <c r="F42" i="16"/>
  <c r="G31" i="16"/>
  <c r="G65" i="16"/>
  <c r="C45" i="16"/>
  <c r="C46" i="16"/>
  <c r="D46" i="16"/>
  <c r="E46" i="16"/>
  <c r="F46" i="16"/>
  <c r="F45" i="16"/>
  <c r="F63" i="16"/>
  <c r="C37" i="16"/>
  <c r="C53" i="16"/>
  <c r="C54" i="16"/>
  <c r="C42" i="16"/>
  <c r="C31" i="16"/>
  <c r="C33" i="16"/>
  <c r="C35" i="16"/>
  <c r="C59" i="16"/>
  <c r="C66" i="16"/>
</calcChain>
</file>

<file path=xl/sharedStrings.xml><?xml version="1.0" encoding="utf-8"?>
<sst xmlns="http://schemas.openxmlformats.org/spreadsheetml/2006/main" count="235" uniqueCount="180">
  <si>
    <t>Table 1: Past dividend payments per common share</t>
  </si>
  <si>
    <t>Dividend (in $)</t>
  </si>
  <si>
    <t>Table 2: Historical Return Data</t>
  </si>
  <si>
    <t>Stock</t>
  </si>
  <si>
    <t>Benchmark</t>
  </si>
  <si>
    <t>Riskfree</t>
  </si>
  <si>
    <t>Holiwood Inc.</t>
  </si>
  <si>
    <t>Oshawa Inc.</t>
  </si>
  <si>
    <t>Whitby Inc.</t>
  </si>
  <si>
    <t>Brock Inc.</t>
  </si>
  <si>
    <t>Market Index</t>
  </si>
  <si>
    <t>Rate</t>
  </si>
  <si>
    <t>Monthly Returns</t>
  </si>
  <si>
    <t>Assumptions</t>
  </si>
  <si>
    <t>Sales growth</t>
  </si>
  <si>
    <t>(Calculate based on last year sales)</t>
  </si>
  <si>
    <t>Projected Sales growth for terminal value calculation</t>
  </si>
  <si>
    <t>Current liabilities/Sales</t>
  </si>
  <si>
    <t>(Based on current year data)</t>
  </si>
  <si>
    <t>Current assets/Sales</t>
  </si>
  <si>
    <t>Costs of goods sold/Sales</t>
  </si>
  <si>
    <t>Net fixed assets/Sales</t>
  </si>
  <si>
    <t>Depreciation rate</t>
  </si>
  <si>
    <t>(only based on last year Fixed Asset at cost)</t>
  </si>
  <si>
    <t>Interest rate on debt</t>
  </si>
  <si>
    <t>(based on the average value of last year and current year debt)</t>
  </si>
  <si>
    <t>Interest earned on cash balances</t>
  </si>
  <si>
    <t>(based on the average value of last year and current year cash and marketable securities)</t>
  </si>
  <si>
    <t>Tax rate</t>
  </si>
  <si>
    <t>Dividend payout ratio</t>
  </si>
  <si>
    <t>Year</t>
  </si>
  <si>
    <t>Income statement</t>
  </si>
  <si>
    <t>Sales</t>
  </si>
  <si>
    <t>Costs of goods sold</t>
  </si>
  <si>
    <t>Depreciation</t>
  </si>
  <si>
    <t>Interest earned on cash and marketable securities</t>
  </si>
  <si>
    <t>Interest payments on debt</t>
  </si>
  <si>
    <t>Profit before tax</t>
  </si>
  <si>
    <t>Taxes</t>
  </si>
  <si>
    <t>Profit after tax</t>
  </si>
  <si>
    <t>Dividends</t>
  </si>
  <si>
    <t>Retained earnings</t>
  </si>
  <si>
    <t>Balance sheet</t>
  </si>
  <si>
    <t>Cash</t>
  </si>
  <si>
    <t>Current assets</t>
  </si>
  <si>
    <t>Fixed assets</t>
  </si>
  <si>
    <t xml:space="preserve">     At cost</t>
  </si>
  <si>
    <t xml:space="preserve">     Accumulated Depreciation</t>
  </si>
  <si>
    <t xml:space="preserve">     Net fixed assets</t>
  </si>
  <si>
    <t>Total assets</t>
  </si>
  <si>
    <t>Current liabilities</t>
  </si>
  <si>
    <t>Debt</t>
  </si>
  <si>
    <t>Accumulated retained earnings</t>
  </si>
  <si>
    <t>Total liabilities and equity</t>
  </si>
  <si>
    <t>Problem 2 (Cash flow forecasting)</t>
  </si>
  <si>
    <t>Problem 1 (Cost of Capital: Relevant Tables)</t>
  </si>
  <si>
    <t>Assumptions: Firm's WACC nd Long-term growth rate</t>
  </si>
  <si>
    <t>Weighted average cost of capital, WACC</t>
  </si>
  <si>
    <t>Long-term growth rate of FCFs, g</t>
  </si>
  <si>
    <t>Free cash flow calculation</t>
  </si>
  <si>
    <t>Add back depreciation</t>
  </si>
  <si>
    <t>Subtract increase in current assets</t>
  </si>
  <si>
    <t>Add back increase in current liabilities</t>
  </si>
  <si>
    <t>Subtract increase in fixed assets at cost</t>
  </si>
  <si>
    <t>Add back after-tax interest on debt</t>
  </si>
  <si>
    <t>Subtract after-tax interest on cash</t>
  </si>
  <si>
    <t>Free cash flow</t>
  </si>
  <si>
    <t>Answer: Problem 2</t>
  </si>
  <si>
    <t>ADM 3500: Corporate Finance</t>
  </si>
  <si>
    <t xml:space="preserve">Section (P/M): </t>
  </si>
  <si>
    <t>M</t>
  </si>
  <si>
    <t>Group Members:</t>
  </si>
  <si>
    <t>Name</t>
  </si>
  <si>
    <t>ID</t>
  </si>
  <si>
    <t>Answer: Problem 1</t>
  </si>
  <si>
    <t>Repayment of LT debt each year</t>
  </si>
  <si>
    <t>Share Price</t>
  </si>
  <si>
    <t>D1</t>
  </si>
  <si>
    <t>Market ROR (Holliwood)</t>
  </si>
  <si>
    <t>Market Premium</t>
  </si>
  <si>
    <t>Average Market Risk Premium</t>
  </si>
  <si>
    <t>Monthly Rrf</t>
  </si>
  <si>
    <t>Holliwood</t>
  </si>
  <si>
    <t>Oshawa</t>
  </si>
  <si>
    <t>Whitby</t>
  </si>
  <si>
    <t>Brock</t>
  </si>
  <si>
    <t>Market INDEX</t>
  </si>
  <si>
    <t>Rrf</t>
  </si>
  <si>
    <t>AVERAGE BETA</t>
  </si>
  <si>
    <t>MRK INDEX</t>
  </si>
  <si>
    <t>THEREFORE</t>
  </si>
  <si>
    <t>Risk Free Rate</t>
  </si>
  <si>
    <t>CAPM THEORY</t>
  </si>
  <si>
    <t>Cost Of Equity</t>
  </si>
  <si>
    <t>Expected ANNUAL Return</t>
  </si>
  <si>
    <t>After-Tax Cost of Bond = Annual Yield to maturity * (1 - Tax rate)</t>
  </si>
  <si>
    <t>(Before Tax)</t>
  </si>
  <si>
    <t>Annual Yield To Maturity =</t>
  </si>
  <si>
    <t>Discount Rate / period =</t>
  </si>
  <si>
    <t>Current Bond Price (P)</t>
  </si>
  <si>
    <t>Coupon Payment (PMT) per period</t>
  </si>
  <si>
    <t>Face Value (PAR)</t>
  </si>
  <si>
    <t>Number of Periods to Maturity (T)</t>
  </si>
  <si>
    <t>Number of Years to Maturity (T)</t>
  </si>
  <si>
    <t>Number of Payments / Year</t>
  </si>
  <si>
    <t>Annual Coupon Rate</t>
  </si>
  <si>
    <t>Cost of Bond</t>
  </si>
  <si>
    <t>Series 1</t>
  </si>
  <si>
    <t>Series 2</t>
  </si>
  <si>
    <t>Series 3</t>
  </si>
  <si>
    <t>Cost of Common Equity</t>
  </si>
  <si>
    <t>Method 1</t>
  </si>
  <si>
    <t>Dividend Growth Model</t>
  </si>
  <si>
    <t>g</t>
  </si>
  <si>
    <t>Pc</t>
  </si>
  <si>
    <t>Ke</t>
  </si>
  <si>
    <t>CAPM</t>
  </si>
  <si>
    <t>Merket Premium (Rm-Rrf)</t>
  </si>
  <si>
    <t>Annual Yield to Maturity = YTM + Coupon</t>
  </si>
  <si>
    <t xml:space="preserve"> </t>
  </si>
  <si>
    <t>Series 1 After-Tax Cost</t>
  </si>
  <si>
    <t>Series 2 After-Tax Cost</t>
  </si>
  <si>
    <t>Series 3 After-Tax Cost</t>
  </si>
  <si>
    <t xml:space="preserve">We will be using the market value weights </t>
  </si>
  <si>
    <t>New Common Equity</t>
  </si>
  <si>
    <t>Preferred Shares</t>
  </si>
  <si>
    <t>WACC</t>
  </si>
  <si>
    <t>WEIGHT</t>
  </si>
  <si>
    <t>COST</t>
  </si>
  <si>
    <t>Question 1.1</t>
  </si>
  <si>
    <t>Question 1.2</t>
  </si>
  <si>
    <t>Question 1.3</t>
  </si>
  <si>
    <t>Question 1.4</t>
  </si>
  <si>
    <t>Question 1.5</t>
  </si>
  <si>
    <t>i.) Cost of Common Equity Using DGM</t>
  </si>
  <si>
    <t>Growth=</t>
  </si>
  <si>
    <t>Dividend=</t>
  </si>
  <si>
    <t>Price=</t>
  </si>
  <si>
    <t>Ke=</t>
  </si>
  <si>
    <t>ii.) Cost of Common Equity Using CAPM</t>
  </si>
  <si>
    <t>Market Premium=</t>
  </si>
  <si>
    <t>Rrf=</t>
  </si>
  <si>
    <t>Beta=</t>
  </si>
  <si>
    <t>Cost of equity=</t>
  </si>
  <si>
    <t>Expected Annual Return=</t>
  </si>
  <si>
    <t xml:space="preserve">i.) The Cost of Retained Earnings = Cost of Equity if </t>
  </si>
  <si>
    <t>there are no floatation costs!</t>
  </si>
  <si>
    <t xml:space="preserve">Retained Earnings = </t>
  </si>
  <si>
    <t>i.) The After-Tax Cost of Debt</t>
  </si>
  <si>
    <t>Annual YTM</t>
  </si>
  <si>
    <t>After-Tax</t>
  </si>
  <si>
    <t>Market Value of Long Term Funds</t>
  </si>
  <si>
    <t>in M$</t>
  </si>
  <si>
    <t>Preferred Share</t>
  </si>
  <si>
    <t>Total</t>
  </si>
  <si>
    <t>Long-Term Debt</t>
  </si>
  <si>
    <t>Equity</t>
  </si>
  <si>
    <t>Price and Number of Outstanding Securities</t>
  </si>
  <si>
    <t>Security Type</t>
  </si>
  <si>
    <t>Price($)</t>
  </si>
  <si>
    <t>Number of outstanding securities</t>
  </si>
  <si>
    <t>?</t>
  </si>
  <si>
    <t>Common Shares</t>
  </si>
  <si>
    <t>in % weight</t>
  </si>
  <si>
    <t>Total Debt</t>
  </si>
  <si>
    <t>Series 1 Bond</t>
  </si>
  <si>
    <t>Series 2 Bond</t>
  </si>
  <si>
    <t>Series 3 Bond</t>
  </si>
  <si>
    <t>WACC - Weighted Average Cost of Capital</t>
  </si>
  <si>
    <t>Using Market Value Weight</t>
  </si>
  <si>
    <t>WACC= (weight of common equity*cost of common equity)+(weight of preferred equity*cost of preferred equity)+(weight of long-term debt*cost of long-term debt*tax)</t>
  </si>
  <si>
    <t>Weight</t>
  </si>
  <si>
    <t>Using CAPM</t>
  </si>
  <si>
    <t>Using DGM</t>
  </si>
  <si>
    <t>Long-term debt-series 1</t>
  </si>
  <si>
    <t>Long-term debt-series 2</t>
  </si>
  <si>
    <t>Long-term debt-series 3</t>
  </si>
  <si>
    <t>Retained Earnings</t>
  </si>
  <si>
    <t>Cost of Capital (WACC)</t>
  </si>
  <si>
    <t>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</si>
</sst>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8" formatCode="&quot;$&quot;#,##0.00_);[Red]\(&quot;$&quot;#,##0.00\)"/>
    <numFmt numFmtId="164" formatCode="&quot;$&quot;#,##0;[Red]\-&quot;$&quot;#,##0"/>
    <numFmt numFmtId="165" formatCode="_-* #,##0.00_-;\-* #,##0.00_-;_-* &quot;-&quot;??_-;_-@_-"/>
    <numFmt numFmtId="166" formatCode="#,##0_ ;[Red]\-#,##0\ "/>
    <numFmt numFmtId="167" formatCode="[$-409]mmm\ yyyy;@"/>
    <numFmt numFmtId="168" formatCode="_(* #,##0_);_(* \(#,##0\);_(* &quot;-&quot;??_);_(@_)"/>
    <numFmt numFmtId="169" formatCode="0_);\(0\)"/>
    <numFmt numFmtId="170" formatCode="0.0000000000000000%"/>
    <numFmt numFmtId="171" formatCode="0.00000000000000000%"/>
    <numFmt numFmtId="172" formatCode="0.00000%"/>
    <numFmt numFmtId="173" formatCode="&quot;$&quot;#,##0.00"/>
    <numFmt numFmtId="174" formatCode="0.0"/>
    <numFmt numFmtId="175" formatCode="0.000%"/>
  </numFmts>
  <fonts count="25" x14ac:knownFonts="1">
    <font>
      <sz val="10"/>
      <name val="Arial"/>
      <charset val="177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6"/>
      <name val="Arial"/>
      <family val="2"/>
    </font>
    <font>
      <sz val="11"/>
      <color theme="1"/>
      <name val="Arial"/>
      <family val="2"/>
    </font>
    <font>
      <b/>
      <sz val="10"/>
      <color theme="7" tint="-0.249977111117893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rgb="FFC0000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0"/>
      <color theme="0"/>
      <name val="Arial"/>
    </font>
    <font>
      <sz val="10"/>
      <color indexed="206"/>
      <name val="Arial"/>
    </font>
    <font>
      <u/>
      <sz val="10"/>
      <color theme="10"/>
      <name val="Arial"/>
      <charset val="177"/>
    </font>
    <font>
      <u/>
      <sz val="10"/>
      <color theme="11"/>
      <name val="Arial"/>
      <charset val="177"/>
    </font>
    <font>
      <b/>
      <sz val="12"/>
      <color rgb="FFFF0000"/>
      <name val="Arial"/>
    </font>
    <font>
      <sz val="12"/>
      <name val="Arial"/>
    </font>
    <font>
      <b/>
      <sz val="16"/>
      <color rgb="FF008000"/>
      <name val="Arial"/>
    </font>
    <font>
      <b/>
      <sz val="16"/>
      <color rgb="FF008000"/>
      <name val="Arial"/>
      <family val="2"/>
    </font>
    <font>
      <sz val="10"/>
      <color rgb="FF00B05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gray125">
        <bgColor theme="6" tint="0.79998168889431442"/>
      </patternFill>
    </fill>
    <fill>
      <patternFill patternType="darkDown">
        <fgColor theme="1"/>
      </patternFill>
    </fill>
    <fill>
      <patternFill patternType="darkDown">
        <fgColor auto="1"/>
      </patternFill>
    </fill>
  </fills>
  <borders count="5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FFFF00"/>
      </left>
      <right/>
      <top style="thin">
        <color rgb="FFFFFF00"/>
      </top>
      <bottom/>
      <diagonal/>
    </border>
    <border>
      <left/>
      <right/>
      <top style="thin">
        <color rgb="FFFFFF00"/>
      </top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/>
      <right style="thin">
        <color rgb="FFFFFF00"/>
      </right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/>
      <right style="thin">
        <color rgb="FFFFFF00"/>
      </right>
      <top/>
      <bottom style="thin">
        <color rgb="FFFFFF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85">
    <xf numFmtId="0" fontId="0" fillId="0" borderId="0"/>
    <xf numFmtId="165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4" fillId="7" borderId="0" applyNumberFormat="0" applyBorder="0" applyAlignment="0" applyProtection="0"/>
    <xf numFmtId="0" fontId="15" fillId="8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205">
    <xf numFmtId="0" fontId="0" fillId="0" borderId="0" xfId="0"/>
    <xf numFmtId="3" fontId="0" fillId="0" borderId="0" xfId="0" applyNumberFormat="1"/>
    <xf numFmtId="0" fontId="1" fillId="0" borderId="0" xfId="0" applyFont="1"/>
    <xf numFmtId="166" fontId="0" fillId="0" borderId="0" xfId="0" applyNumberFormat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3" fillId="0" borderId="0" xfId="0" applyFont="1"/>
    <xf numFmtId="10" fontId="0" fillId="0" borderId="0" xfId="0" applyNumberFormat="1" applyBorder="1"/>
    <xf numFmtId="10" fontId="0" fillId="0" borderId="5" xfId="0" applyNumberFormat="1" applyBorder="1"/>
    <xf numFmtId="10" fontId="0" fillId="0" borderId="8" xfId="0" applyNumberFormat="1" applyBorder="1"/>
    <xf numFmtId="0" fontId="0" fillId="0" borderId="8" xfId="0" applyBorder="1" applyAlignment="1">
      <alignment horizontal="center"/>
    </xf>
    <xf numFmtId="0" fontId="0" fillId="0" borderId="1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17" fontId="0" fillId="0" borderId="6" xfId="0" applyNumberFormat="1" applyBorder="1"/>
    <xf numFmtId="0" fontId="2" fillId="0" borderId="7" xfId="0" applyFont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17" fontId="1" fillId="0" borderId="1" xfId="0" applyNumberFormat="1" applyFont="1" applyBorder="1"/>
    <xf numFmtId="167" fontId="0" fillId="0" borderId="4" xfId="0" applyNumberForma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10" fontId="0" fillId="0" borderId="7" xfId="0" applyNumberFormat="1" applyBorder="1"/>
    <xf numFmtId="0" fontId="3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6" fillId="0" borderId="0" xfId="0" applyFont="1"/>
    <xf numFmtId="0" fontId="1" fillId="2" borderId="0" xfId="0" applyFont="1" applyFill="1"/>
    <xf numFmtId="9" fontId="6" fillId="0" borderId="0" xfId="0" applyNumberFormat="1" applyFont="1" applyFill="1"/>
    <xf numFmtId="0" fontId="7" fillId="0" borderId="0" xfId="0" applyFont="1"/>
    <xf numFmtId="10" fontId="6" fillId="0" borderId="0" xfId="0" applyNumberFormat="1" applyFont="1" applyFill="1"/>
    <xf numFmtId="9" fontId="6" fillId="0" borderId="0" xfId="0" applyNumberFormat="1" applyFont="1"/>
    <xf numFmtId="0" fontId="1" fillId="3" borderId="13" xfId="0" applyFont="1" applyFill="1" applyBorder="1"/>
    <xf numFmtId="0" fontId="1" fillId="3" borderId="13" xfId="0" applyFont="1" applyFill="1" applyBorder="1" applyAlignment="1">
      <alignment horizontal="center"/>
    </xf>
    <xf numFmtId="0" fontId="8" fillId="0" borderId="0" xfId="0" applyFont="1"/>
    <xf numFmtId="168" fontId="2" fillId="0" borderId="0" xfId="1" applyNumberFormat="1" applyFont="1"/>
    <xf numFmtId="0" fontId="2" fillId="0" borderId="0" xfId="0" applyFont="1"/>
    <xf numFmtId="0" fontId="1" fillId="4" borderId="13" xfId="0" applyFont="1" applyFill="1" applyBorder="1"/>
    <xf numFmtId="0" fontId="1" fillId="4" borderId="13" xfId="0" applyFont="1" applyFill="1" applyBorder="1" applyAlignment="1">
      <alignment horizontal="center"/>
    </xf>
    <xf numFmtId="0" fontId="10" fillId="3" borderId="0" xfId="0" applyFont="1" applyFill="1"/>
    <xf numFmtId="0" fontId="0" fillId="3" borderId="0" xfId="0" applyFill="1"/>
    <xf numFmtId="0" fontId="2" fillId="0" borderId="0" xfId="0" applyFont="1" applyFill="1"/>
    <xf numFmtId="9" fontId="2" fillId="0" borderId="0" xfId="0" applyNumberFormat="1" applyFont="1" applyFill="1"/>
    <xf numFmtId="0" fontId="0" fillId="0" borderId="0" xfId="0" applyFill="1"/>
    <xf numFmtId="169" fontId="8" fillId="0" borderId="0" xfId="0" applyNumberFormat="1" applyFont="1"/>
    <xf numFmtId="0" fontId="11" fillId="0" borderId="0" xfId="0" applyFont="1" applyFill="1"/>
    <xf numFmtId="169" fontId="1" fillId="0" borderId="0" xfId="0" applyNumberFormat="1" applyFont="1"/>
    <xf numFmtId="169" fontId="0" fillId="0" borderId="0" xfId="0" applyNumberFormat="1"/>
    <xf numFmtId="169" fontId="0" fillId="0" borderId="0" xfId="0" applyNumberFormat="1" applyBorder="1"/>
    <xf numFmtId="168" fontId="0" fillId="0" borderId="0" xfId="0" applyNumberFormat="1" applyFill="1" applyBorder="1"/>
    <xf numFmtId="0" fontId="12" fillId="0" borderId="0" xfId="0" applyFont="1"/>
    <xf numFmtId="168" fontId="6" fillId="0" borderId="0" xfId="0" applyNumberFormat="1" applyFont="1"/>
    <xf numFmtId="0" fontId="13" fillId="6" borderId="0" xfId="0" applyFont="1" applyFill="1"/>
    <xf numFmtId="0" fontId="0" fillId="6" borderId="0" xfId="0" applyFill="1"/>
    <xf numFmtId="0" fontId="13" fillId="3" borderId="0" xfId="0" applyFont="1" applyFill="1"/>
    <xf numFmtId="0" fontId="13" fillId="0" borderId="0" xfId="0" applyFont="1"/>
    <xf numFmtId="0" fontId="0" fillId="4" borderId="14" xfId="0" applyFill="1" applyBorder="1"/>
    <xf numFmtId="0" fontId="0" fillId="0" borderId="0" xfId="0" applyBorder="1"/>
    <xf numFmtId="0" fontId="9" fillId="4" borderId="15" xfId="0" applyFont="1" applyFill="1" applyBorder="1"/>
    <xf numFmtId="0" fontId="9" fillId="4" borderId="16" xfId="0" applyFont="1" applyFill="1" applyBorder="1"/>
    <xf numFmtId="0" fontId="0" fillId="4" borderId="17" xfId="0" applyFill="1" applyBorder="1"/>
    <xf numFmtId="0" fontId="0" fillId="0" borderId="4" xfId="0" applyBorder="1"/>
    <xf numFmtId="0" fontId="0" fillId="0" borderId="5" xfId="0" applyBorder="1"/>
    <xf numFmtId="0" fontId="0" fillId="0" borderId="8" xfId="0" applyBorder="1"/>
    <xf numFmtId="164" fontId="2" fillId="0" borderId="0" xfId="0" applyNumberFormat="1" applyFont="1" applyFill="1"/>
    <xf numFmtId="169" fontId="1" fillId="5" borderId="0" xfId="0" applyNumberFormat="1" applyFont="1" applyFill="1"/>
    <xf numFmtId="0" fontId="1" fillId="5" borderId="0" xfId="0" applyFont="1" applyFill="1" applyBorder="1" applyAlignment="1">
      <alignment horizontal="center"/>
    </xf>
    <xf numFmtId="10" fontId="0" fillId="0" borderId="0" xfId="0" applyNumberFormat="1"/>
    <xf numFmtId="0" fontId="17" fillId="0" borderId="0" xfId="0" applyFont="1"/>
    <xf numFmtId="10" fontId="0" fillId="9" borderId="18" xfId="0" applyNumberFormat="1" applyFill="1" applyBorder="1"/>
    <xf numFmtId="10" fontId="0" fillId="9" borderId="19" xfId="0" applyNumberFormat="1" applyFill="1" applyBorder="1"/>
    <xf numFmtId="10" fontId="0" fillId="9" borderId="20" xfId="0" applyNumberFormat="1" applyFill="1" applyBorder="1"/>
    <xf numFmtId="0" fontId="0" fillId="0" borderId="0" xfId="0" applyFill="1" applyBorder="1" applyAlignment="1">
      <alignment horizontal="center"/>
    </xf>
    <xf numFmtId="10" fontId="0" fillId="10" borderId="0" xfId="0" applyNumberFormat="1" applyFill="1"/>
    <xf numFmtId="0" fontId="0" fillId="10" borderId="0" xfId="0" applyFill="1"/>
    <xf numFmtId="0" fontId="0" fillId="11" borderId="0" xfId="0" applyFill="1"/>
    <xf numFmtId="0" fontId="14" fillId="7" borderId="0" xfId="3"/>
    <xf numFmtId="10" fontId="0" fillId="3" borderId="14" xfId="0" applyNumberFormat="1" applyFill="1" applyBorder="1"/>
    <xf numFmtId="0" fontId="0" fillId="3" borderId="14" xfId="0" applyFill="1" applyBorder="1"/>
    <xf numFmtId="9" fontId="0" fillId="3" borderId="0" xfId="0" applyNumberFormat="1" applyFill="1"/>
    <xf numFmtId="9" fontId="0" fillId="12" borderId="0" xfId="0" applyNumberFormat="1" applyFill="1"/>
    <xf numFmtId="0" fontId="0" fillId="12" borderId="0" xfId="0" applyFill="1"/>
    <xf numFmtId="0" fontId="0" fillId="12" borderId="14" xfId="0" applyFill="1" applyBorder="1"/>
    <xf numFmtId="10" fontId="0" fillId="12" borderId="14" xfId="0" applyNumberFormat="1" applyFill="1" applyBorder="1"/>
    <xf numFmtId="0" fontId="3" fillId="0" borderId="0" xfId="0" applyFont="1" applyFill="1" applyBorder="1"/>
    <xf numFmtId="10" fontId="15" fillId="8" borderId="0" xfId="4" applyNumberFormat="1"/>
    <xf numFmtId="0" fontId="1" fillId="3" borderId="1" xfId="0" applyFont="1" applyFill="1" applyBorder="1"/>
    <xf numFmtId="0" fontId="1" fillId="0" borderId="2" xfId="0" applyFont="1" applyBorder="1"/>
    <xf numFmtId="9" fontId="0" fillId="0" borderId="0" xfId="0" applyNumberFormat="1" applyBorder="1"/>
    <xf numFmtId="10" fontId="0" fillId="0" borderId="7" xfId="2" applyNumberFormat="1" applyFont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1" fillId="13" borderId="0" xfId="0" applyFont="1" applyFill="1" applyBorder="1"/>
    <xf numFmtId="0" fontId="0" fillId="13" borderId="0" xfId="0" applyFill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8" fontId="0" fillId="0" borderId="0" xfId="0" applyNumberFormat="1"/>
    <xf numFmtId="9" fontId="0" fillId="0" borderId="0" xfId="0" applyNumberFormat="1"/>
    <xf numFmtId="6" fontId="0" fillId="0" borderId="0" xfId="0" applyNumberFormat="1"/>
    <xf numFmtId="0" fontId="0" fillId="14" borderId="30" xfId="0" applyFill="1" applyBorder="1"/>
    <xf numFmtId="0" fontId="0" fillId="14" borderId="31" xfId="0" applyFill="1" applyBorder="1"/>
    <xf numFmtId="0" fontId="0" fillId="14" borderId="32" xfId="0" applyFill="1" applyBorder="1"/>
    <xf numFmtId="0" fontId="0" fillId="14" borderId="33" xfId="0" applyFill="1" applyBorder="1"/>
    <xf numFmtId="0" fontId="0" fillId="14" borderId="0" xfId="0" applyFill="1" applyBorder="1"/>
    <xf numFmtId="0" fontId="0" fillId="14" borderId="34" xfId="0" applyFill="1" applyBorder="1"/>
    <xf numFmtId="0" fontId="0" fillId="14" borderId="35" xfId="0" applyFill="1" applyBorder="1"/>
    <xf numFmtId="0" fontId="0" fillId="14" borderId="36" xfId="0" applyFill="1" applyBorder="1"/>
    <xf numFmtId="0" fontId="0" fillId="14" borderId="37" xfId="0" applyFill="1" applyBorder="1"/>
    <xf numFmtId="0" fontId="0" fillId="0" borderId="0" xfId="0" applyFill="1" applyBorder="1"/>
    <xf numFmtId="10" fontId="0" fillId="0" borderId="0" xfId="0" applyNumberFormat="1" applyFill="1" applyBorder="1"/>
    <xf numFmtId="0" fontId="15" fillId="0" borderId="0" xfId="4" applyFill="1" applyBorder="1"/>
    <xf numFmtId="171" fontId="15" fillId="0" borderId="0" xfId="4" applyNumberFormat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10" fontId="14" fillId="7" borderId="21" xfId="3" applyNumberFormat="1" applyBorder="1"/>
    <xf numFmtId="0" fontId="14" fillId="7" borderId="0" xfId="3" applyBorder="1"/>
    <xf numFmtId="170" fontId="14" fillId="7" borderId="0" xfId="3" applyNumberFormat="1" applyBorder="1"/>
    <xf numFmtId="0" fontId="14" fillId="7" borderId="2" xfId="3" applyBorder="1"/>
    <xf numFmtId="172" fontId="14" fillId="7" borderId="0" xfId="3" applyNumberFormat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20" fillId="0" borderId="0" xfId="0" applyFont="1" applyBorder="1"/>
    <xf numFmtId="0" fontId="21" fillId="0" borderId="0" xfId="0" applyFont="1" applyBorder="1"/>
    <xf numFmtId="10" fontId="21" fillId="0" borderId="0" xfId="0" applyNumberFormat="1" applyFont="1" applyBorder="1"/>
    <xf numFmtId="0" fontId="0" fillId="15" borderId="0" xfId="0" applyFont="1" applyFill="1"/>
    <xf numFmtId="170" fontId="0" fillId="0" borderId="0" xfId="0" applyNumberFormat="1"/>
    <xf numFmtId="0" fontId="16" fillId="0" borderId="0" xfId="0" applyFont="1" applyFill="1"/>
    <xf numFmtId="0" fontId="0" fillId="0" borderId="0" xfId="0" applyFont="1" applyFill="1"/>
    <xf numFmtId="173" fontId="0" fillId="0" borderId="0" xfId="0" applyNumberFormat="1" applyFont="1" applyFill="1"/>
    <xf numFmtId="173" fontId="0" fillId="0" borderId="0" xfId="0" applyNumberFormat="1"/>
    <xf numFmtId="10" fontId="14" fillId="7" borderId="0" xfId="3" applyNumberFormat="1"/>
    <xf numFmtId="0" fontId="22" fillId="0" borderId="0" xfId="0" applyFont="1"/>
    <xf numFmtId="0" fontId="0" fillId="0" borderId="46" xfId="0" applyBorder="1"/>
    <xf numFmtId="0" fontId="0" fillId="0" borderId="19" xfId="0" applyBorder="1"/>
    <xf numFmtId="0" fontId="1" fillId="0" borderId="19" xfId="0" applyFont="1" applyBorder="1" applyAlignment="1">
      <alignment horizontal="center"/>
    </xf>
    <xf numFmtId="0" fontId="1" fillId="0" borderId="47" xfId="0" applyFont="1" applyBorder="1" applyAlignment="1">
      <alignment horizontal="center"/>
    </xf>
    <xf numFmtId="174" fontId="0" fillId="0" borderId="0" xfId="0" applyNumberFormat="1" applyBorder="1"/>
    <xf numFmtId="174" fontId="0" fillId="0" borderId="0" xfId="0" applyNumberFormat="1" applyBorder="1" applyAlignment="1">
      <alignment horizontal="center"/>
    </xf>
    <xf numFmtId="9" fontId="0" fillId="0" borderId="49" xfId="2" applyFont="1" applyBorder="1" applyAlignment="1">
      <alignment horizontal="center"/>
    </xf>
    <xf numFmtId="174" fontId="2" fillId="0" borderId="48" xfId="0" applyNumberFormat="1" applyFont="1" applyBorder="1"/>
    <xf numFmtId="0" fontId="0" fillId="0" borderId="18" xfId="0" applyBorder="1"/>
    <xf numFmtId="174" fontId="0" fillId="0" borderId="18" xfId="0" applyNumberFormat="1" applyBorder="1" applyAlignment="1">
      <alignment horizontal="center"/>
    </xf>
    <xf numFmtId="9" fontId="0" fillId="0" borderId="51" xfId="2" applyFont="1" applyBorder="1" applyAlignment="1">
      <alignment horizontal="center"/>
    </xf>
    <xf numFmtId="0" fontId="1" fillId="0" borderId="52" xfId="0" applyFont="1" applyBorder="1"/>
    <xf numFmtId="0" fontId="0" fillId="0" borderId="53" xfId="0" applyBorder="1"/>
    <xf numFmtId="0" fontId="0" fillId="0" borderId="54" xfId="0" applyBorder="1"/>
    <xf numFmtId="0" fontId="0" fillId="0" borderId="48" xfId="0" applyBorder="1"/>
    <xf numFmtId="174" fontId="1" fillId="0" borderId="48" xfId="0" applyNumberFormat="1" applyFont="1" applyBorder="1"/>
    <xf numFmtId="0" fontId="1" fillId="0" borderId="50" xfId="0" applyFont="1" applyBorder="1"/>
    <xf numFmtId="0" fontId="0" fillId="0" borderId="49" xfId="0" applyBorder="1"/>
    <xf numFmtId="0" fontId="2" fillId="0" borderId="48" xfId="0" applyFont="1" applyBorder="1"/>
    <xf numFmtId="0" fontId="2" fillId="0" borderId="0" xfId="0" applyFont="1" applyBorder="1" applyAlignment="1">
      <alignment horizontal="center"/>
    </xf>
    <xf numFmtId="3" fontId="2" fillId="0" borderId="49" xfId="0" applyNumberFormat="1" applyFont="1" applyBorder="1" applyAlignment="1">
      <alignment horizontal="center"/>
    </xf>
    <xf numFmtId="0" fontId="2" fillId="0" borderId="50" xfId="0" applyFont="1" applyBorder="1"/>
    <xf numFmtId="9" fontId="0" fillId="3" borderId="49" xfId="2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49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3" fontId="0" fillId="0" borderId="51" xfId="0" applyNumberFormat="1" applyBorder="1" applyAlignment="1">
      <alignment horizontal="center"/>
    </xf>
    <xf numFmtId="0" fontId="1" fillId="0" borderId="48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49" xfId="0" applyFont="1" applyBorder="1" applyAlignment="1">
      <alignment horizontal="left"/>
    </xf>
    <xf numFmtId="0" fontId="23" fillId="0" borderId="0" xfId="0" applyFont="1"/>
    <xf numFmtId="0" fontId="2" fillId="0" borderId="47" xfId="0" applyFont="1" applyBorder="1" applyAlignment="1">
      <alignment horizontal="center"/>
    </xf>
    <xf numFmtId="0" fontId="2" fillId="0" borderId="21" xfId="0" applyFont="1" applyBorder="1"/>
    <xf numFmtId="0" fontId="2" fillId="0" borderId="57" xfId="0" applyFont="1" applyBorder="1" applyAlignment="1">
      <alignment horizontal="center"/>
    </xf>
    <xf numFmtId="0" fontId="0" fillId="0" borderId="49" xfId="0" applyBorder="1" applyAlignment="1">
      <alignment horizontal="center"/>
    </xf>
    <xf numFmtId="9" fontId="0" fillId="0" borderId="55" xfId="0" applyNumberForma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4" fillId="0" borderId="21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1" xfId="0" applyFont="1" applyBorder="1" applyAlignment="1">
      <alignment horizontal="center" wrapText="1"/>
    </xf>
    <xf numFmtId="9" fontId="0" fillId="0" borderId="49" xfId="2" applyFont="1" applyFill="1" applyBorder="1" applyAlignment="1">
      <alignment horizontal="center"/>
    </xf>
    <xf numFmtId="9" fontId="0" fillId="3" borderId="51" xfId="2" applyFont="1" applyFill="1" applyBorder="1" applyAlignment="1">
      <alignment horizontal="center"/>
    </xf>
    <xf numFmtId="10" fontId="0" fillId="0" borderId="55" xfId="0" applyNumberFormat="1" applyBorder="1" applyAlignment="1">
      <alignment horizontal="center"/>
    </xf>
    <xf numFmtId="10" fontId="0" fillId="0" borderId="49" xfId="0" applyNumberFormat="1" applyBorder="1" applyAlignment="1">
      <alignment horizontal="center"/>
    </xf>
    <xf numFmtId="9" fontId="0" fillId="0" borderId="49" xfId="0" applyNumberFormat="1" applyBorder="1" applyAlignment="1">
      <alignment horizontal="center"/>
    </xf>
    <xf numFmtId="10" fontId="0" fillId="0" borderId="21" xfId="0" applyNumberFormat="1" applyBorder="1" applyAlignment="1">
      <alignment horizontal="center"/>
    </xf>
    <xf numFmtId="175" fontId="0" fillId="0" borderId="21" xfId="0" applyNumberFormat="1" applyFill="1" applyBorder="1" applyAlignment="1">
      <alignment horizontal="center"/>
    </xf>
    <xf numFmtId="10" fontId="0" fillId="0" borderId="55" xfId="0" applyNumberFormat="1" applyFill="1" applyBorder="1" applyAlignment="1">
      <alignment horizontal="center"/>
    </xf>
    <xf numFmtId="0" fontId="0" fillId="16" borderId="21" xfId="0" applyFill="1" applyBorder="1" applyAlignment="1">
      <alignment horizontal="center"/>
    </xf>
  </cellXfs>
  <cellStyles count="85">
    <cellStyle name="Bad" xfId="4" builtinId="27"/>
    <cellStyle name="Comma" xfId="1" builtinId="3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Good" xfId="3" builtinId="26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546100</xdr:colOff>
      <xdr:row>13</xdr:row>
      <xdr:rowOff>28576</xdr:rowOff>
    </xdr:from>
    <xdr:to>
      <xdr:col>8</xdr:col>
      <xdr:colOff>282549</xdr:colOff>
      <xdr:row>16</xdr:row>
      <xdr:rowOff>1</xdr:rowOff>
    </xdr:to>
    <xdr:sp macro="" textlink="">
      <xdr:nvSpPr>
        <xdr:cNvPr id="2" name="TextBox 1"/>
        <xdr:cNvSpPr txBox="1"/>
      </xdr:nvSpPr>
      <xdr:spPr>
        <a:xfrm>
          <a:off x="4787900" y="2009776"/>
          <a:ext cx="3101949" cy="4286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CA" sz="1100"/>
            <a:t>Rate(Number of period to maturity, coupon payment per period, -Bond price, Face Value)</a:t>
          </a:r>
        </a:p>
      </xdr:txBody>
    </xdr:sp>
    <xdr:clientData/>
  </xdr:twoCellAnchor>
  <xdr:twoCellAnchor>
    <xdr:from>
      <xdr:col>2</xdr:col>
      <xdr:colOff>565150</xdr:colOff>
      <xdr:row>14</xdr:row>
      <xdr:rowOff>100014</xdr:rowOff>
    </xdr:from>
    <xdr:to>
      <xdr:col>3</xdr:col>
      <xdr:colOff>546100</xdr:colOff>
      <xdr:row>15</xdr:row>
      <xdr:rowOff>142875</xdr:rowOff>
    </xdr:to>
    <xdr:cxnSp macro="">
      <xdr:nvCxnSpPr>
        <xdr:cNvPr id="3" name="Straight Arrow Connector 2"/>
        <xdr:cNvCxnSpPr>
          <a:stCxn id="2" idx="1"/>
        </xdr:cNvCxnSpPr>
      </xdr:nvCxnSpPr>
      <xdr:spPr>
        <a:xfrm rot="10800000" flipV="1">
          <a:off x="4133850" y="2233614"/>
          <a:ext cx="654050" cy="19526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546099</xdr:colOff>
      <xdr:row>17</xdr:row>
      <xdr:rowOff>66675</xdr:rowOff>
    </xdr:from>
    <xdr:to>
      <xdr:col>9</xdr:col>
      <xdr:colOff>536574</xdr:colOff>
      <xdr:row>21</xdr:row>
      <xdr:rowOff>9525</xdr:rowOff>
    </xdr:to>
    <xdr:sp macro="" textlink="">
      <xdr:nvSpPr>
        <xdr:cNvPr id="4" name="TextBox 3"/>
        <xdr:cNvSpPr txBox="1"/>
      </xdr:nvSpPr>
      <xdr:spPr>
        <a:xfrm>
          <a:off x="4787899" y="2657475"/>
          <a:ext cx="4029075" cy="55245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CA" sz="1100"/>
            <a:t>Use EAR concept:</a:t>
          </a:r>
        </a:p>
        <a:p>
          <a:r>
            <a:rPr lang="en-CA" sz="1100"/>
            <a:t>EAR = {(1 + rate per period)^number of period per year} - 1</a:t>
          </a:r>
        </a:p>
      </xdr:txBody>
    </xdr:sp>
    <xdr:clientData/>
  </xdr:twoCellAnchor>
  <xdr:twoCellAnchor>
    <xdr:from>
      <xdr:col>3</xdr:col>
      <xdr:colOff>1</xdr:colOff>
      <xdr:row>18</xdr:row>
      <xdr:rowOff>76201</xdr:rowOff>
    </xdr:from>
    <xdr:to>
      <xdr:col>3</xdr:col>
      <xdr:colOff>546100</xdr:colOff>
      <xdr:row>19</xdr:row>
      <xdr:rowOff>28576</xdr:rowOff>
    </xdr:to>
    <xdr:cxnSp macro="">
      <xdr:nvCxnSpPr>
        <xdr:cNvPr id="5" name="Straight Arrow Connector 4"/>
        <xdr:cNvCxnSpPr>
          <a:stCxn id="4" idx="1"/>
        </xdr:cNvCxnSpPr>
      </xdr:nvCxnSpPr>
      <xdr:spPr>
        <a:xfrm rot="10800000">
          <a:off x="4241801" y="2819401"/>
          <a:ext cx="546099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tabSelected="1" workbookViewId="0">
      <selection activeCell="F10" sqref="F10"/>
    </sheetView>
  </sheetViews>
  <sheetFormatPr baseColWidth="10" defaultColWidth="8.83203125" defaultRowHeight="12" x14ac:dyDescent="0"/>
  <sheetData>
    <row r="2" spans="1:7" ht="18">
      <c r="B2" s="60" t="s">
        <v>68</v>
      </c>
      <c r="C2" s="46"/>
      <c r="D2" s="46"/>
      <c r="E2" s="46"/>
      <c r="F2" s="46"/>
    </row>
    <row r="3" spans="1:7" ht="13" thickBot="1"/>
    <row r="4" spans="1:7" ht="19" thickBot="1">
      <c r="B4" s="61" t="s">
        <v>69</v>
      </c>
      <c r="D4" s="62" t="s">
        <v>70</v>
      </c>
    </row>
    <row r="5" spans="1:7" ht="18">
      <c r="B5" s="61"/>
      <c r="D5" s="63"/>
    </row>
    <row r="6" spans="1:7" ht="18">
      <c r="B6" s="61" t="s">
        <v>71</v>
      </c>
    </row>
    <row r="7" spans="1:7" ht="13" thickBot="1"/>
    <row r="8" spans="1:7" ht="15" thickBot="1">
      <c r="B8" s="64" t="s">
        <v>72</v>
      </c>
      <c r="C8" s="65"/>
      <c r="D8" s="65"/>
      <c r="E8" s="65"/>
      <c r="F8" s="64" t="s">
        <v>73</v>
      </c>
      <c r="G8" s="66"/>
    </row>
    <row r="9" spans="1:7">
      <c r="B9" s="67"/>
      <c r="C9" s="63"/>
      <c r="D9" s="63"/>
      <c r="E9" s="63"/>
      <c r="F9" s="67"/>
      <c r="G9" s="68"/>
    </row>
    <row r="10" spans="1:7">
      <c r="A10" s="59">
        <v>1</v>
      </c>
      <c r="B10" s="67"/>
      <c r="C10" s="63"/>
      <c r="D10" s="63"/>
      <c r="E10" s="63"/>
      <c r="F10" s="67"/>
      <c r="G10" s="68"/>
    </row>
    <row r="11" spans="1:7">
      <c r="B11" s="67"/>
      <c r="C11" s="63"/>
      <c r="D11" s="63"/>
      <c r="E11" s="63"/>
      <c r="F11" s="67"/>
      <c r="G11" s="68"/>
    </row>
    <row r="12" spans="1:7">
      <c r="A12" s="59">
        <v>2</v>
      </c>
      <c r="B12" s="67"/>
      <c r="C12" s="63"/>
      <c r="D12" s="63"/>
      <c r="E12" s="63"/>
      <c r="F12" s="67"/>
      <c r="G12" s="68"/>
    </row>
    <row r="13" spans="1:7">
      <c r="B13" s="67"/>
      <c r="C13" s="63"/>
      <c r="D13" s="63"/>
      <c r="E13" s="63"/>
      <c r="F13" s="67"/>
      <c r="G13" s="68"/>
    </row>
    <row r="14" spans="1:7">
      <c r="A14" s="59">
        <v>3</v>
      </c>
      <c r="B14" s="67"/>
      <c r="C14" s="63"/>
      <c r="D14" s="63"/>
      <c r="E14" s="63"/>
      <c r="F14" s="67"/>
      <c r="G14" s="68"/>
    </row>
    <row r="15" spans="1:7">
      <c r="B15" s="67"/>
      <c r="C15" s="63"/>
      <c r="D15" s="63"/>
      <c r="E15" s="63"/>
      <c r="F15" s="67"/>
      <c r="G15" s="68"/>
    </row>
    <row r="16" spans="1:7">
      <c r="A16" s="59">
        <v>4</v>
      </c>
      <c r="B16" s="67"/>
      <c r="C16" s="63"/>
      <c r="D16" s="63"/>
      <c r="E16" s="63"/>
      <c r="F16" s="67"/>
      <c r="G16" s="68"/>
    </row>
    <row r="17" spans="1:7">
      <c r="B17" s="67"/>
      <c r="C17" s="63"/>
      <c r="D17" s="63"/>
      <c r="E17" s="63"/>
      <c r="F17" s="67"/>
      <c r="G17" s="68"/>
    </row>
    <row r="18" spans="1:7">
      <c r="A18" s="59">
        <v>5</v>
      </c>
      <c r="B18" s="67"/>
      <c r="C18" s="63"/>
      <c r="D18" s="63"/>
      <c r="E18" s="63"/>
      <c r="F18" s="67"/>
      <c r="G18" s="68"/>
    </row>
    <row r="19" spans="1:7">
      <c r="B19" s="67"/>
      <c r="C19" s="63"/>
      <c r="D19" s="63"/>
      <c r="E19" s="63"/>
      <c r="F19" s="67"/>
      <c r="G19" s="68"/>
    </row>
    <row r="20" spans="1:7">
      <c r="A20" s="59">
        <v>6</v>
      </c>
      <c r="B20" s="67"/>
      <c r="C20" s="63"/>
      <c r="D20" s="63"/>
      <c r="E20" s="63"/>
      <c r="F20" s="67"/>
      <c r="G20" s="68"/>
    </row>
    <row r="21" spans="1:7" ht="13" thickBot="1">
      <c r="B21" s="5"/>
      <c r="C21" s="6"/>
      <c r="D21" s="6"/>
      <c r="E21" s="6"/>
      <c r="F21" s="5"/>
      <c r="G21" s="69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9"/>
  <sheetViews>
    <sheetView topLeftCell="A34" workbookViewId="0">
      <selection activeCell="O74" sqref="O74"/>
    </sheetView>
  </sheetViews>
  <sheetFormatPr baseColWidth="10" defaultColWidth="8.83203125" defaultRowHeight="12" x14ac:dyDescent="0"/>
  <cols>
    <col min="1" max="1" width="20" customWidth="1"/>
    <col min="2" max="2" width="12.6640625" customWidth="1"/>
    <col min="3" max="3" width="12" customWidth="1"/>
    <col min="4" max="4" width="11.1640625" customWidth="1"/>
    <col min="5" max="5" width="12.6640625" customWidth="1"/>
    <col min="6" max="7" width="10.33203125" bestFit="1" customWidth="1"/>
    <col min="8" max="8" width="11.83203125" customWidth="1"/>
    <col min="10" max="10" width="8.6640625" customWidth="1"/>
    <col min="11" max="11" width="27.33203125" customWidth="1"/>
    <col min="12" max="12" width="13.6640625" customWidth="1"/>
    <col min="13" max="13" width="14.6640625" bestFit="1" customWidth="1"/>
    <col min="14" max="14" width="12.33203125" customWidth="1"/>
    <col min="15" max="15" width="3.83203125" customWidth="1"/>
    <col min="16" max="16" width="14.5" customWidth="1"/>
    <col min="18" max="18" width="27.6640625" customWidth="1"/>
  </cols>
  <sheetData>
    <row r="1" spans="1:17" ht="18">
      <c r="A1" s="58" t="s">
        <v>74</v>
      </c>
      <c r="B1" s="59"/>
      <c r="C1" s="59"/>
    </row>
    <row r="3" spans="1:17" ht="18">
      <c r="A3" s="8" t="s">
        <v>55</v>
      </c>
      <c r="J3" s="153" t="s">
        <v>129</v>
      </c>
    </row>
    <row r="4" spans="1:17">
      <c r="J4" t="s">
        <v>134</v>
      </c>
    </row>
    <row r="5" spans="1:17">
      <c r="B5" s="3"/>
      <c r="C5" s="3"/>
      <c r="K5" t="s">
        <v>135</v>
      </c>
      <c r="L5" s="9">
        <f>(H8/C8)^0.2-1</f>
        <v>0.10116379654429841</v>
      </c>
    </row>
    <row r="6" spans="1:17" ht="13" thickBot="1">
      <c r="A6" s="2" t="s">
        <v>0</v>
      </c>
      <c r="K6" s="149" t="s">
        <v>136</v>
      </c>
      <c r="L6" s="150">
        <f>H8*(1+L5)</f>
        <v>3.7439569082506146</v>
      </c>
      <c r="M6" s="148"/>
      <c r="N6" s="148"/>
      <c r="O6" s="148"/>
      <c r="P6" s="148"/>
      <c r="Q6" s="148"/>
    </row>
    <row r="7" spans="1:17">
      <c r="A7" s="13"/>
      <c r="B7" s="7"/>
      <c r="C7" s="14">
        <v>2007</v>
      </c>
      <c r="D7" s="14">
        <v>2008</v>
      </c>
      <c r="E7" s="14">
        <v>2009</v>
      </c>
      <c r="F7" s="14">
        <v>2010</v>
      </c>
      <c r="G7" s="14">
        <v>2011</v>
      </c>
      <c r="H7" s="15">
        <v>2012</v>
      </c>
      <c r="J7" s="1"/>
      <c r="K7" t="s">
        <v>137</v>
      </c>
      <c r="L7" s="151">
        <v>62</v>
      </c>
    </row>
    <row r="8" spans="1:17" ht="16" thickBot="1">
      <c r="A8" s="5" t="s">
        <v>1</v>
      </c>
      <c r="B8" s="6"/>
      <c r="C8" s="16">
        <v>2.1</v>
      </c>
      <c r="D8" s="16">
        <v>2.4500000000000002</v>
      </c>
      <c r="E8" s="16">
        <v>2.65</v>
      </c>
      <c r="F8" s="16">
        <v>2.8</v>
      </c>
      <c r="G8" s="16">
        <v>3.1</v>
      </c>
      <c r="H8" s="17">
        <v>3.4</v>
      </c>
      <c r="K8" s="82" t="s">
        <v>138</v>
      </c>
      <c r="L8" s="152">
        <f>(L6/L7)+L5</f>
        <v>0.16155019829027606</v>
      </c>
    </row>
    <row r="10" spans="1:17">
      <c r="J10" t="s">
        <v>139</v>
      </c>
    </row>
    <row r="11" spans="1:17">
      <c r="A11" s="2" t="s">
        <v>2</v>
      </c>
      <c r="K11" t="s">
        <v>140</v>
      </c>
      <c r="L11" s="73">
        <f>CAPM!E2</f>
        <v>1.1703508771929822E-2</v>
      </c>
    </row>
    <row r="12" spans="1:17" ht="13" thickBot="1">
      <c r="K12" t="s">
        <v>141</v>
      </c>
      <c r="L12" s="73">
        <f>CAPM!E4</f>
        <v>4.0000000000000001E-3</v>
      </c>
    </row>
    <row r="13" spans="1:17">
      <c r="A13" s="13"/>
      <c r="B13" s="19" t="s">
        <v>3</v>
      </c>
      <c r="C13" s="18" t="s">
        <v>3</v>
      </c>
      <c r="D13" s="18" t="s">
        <v>3</v>
      </c>
      <c r="E13" s="19" t="s">
        <v>3</v>
      </c>
      <c r="F13" s="18" t="s">
        <v>4</v>
      </c>
      <c r="G13" s="20" t="s">
        <v>5</v>
      </c>
      <c r="K13" t="s">
        <v>142</v>
      </c>
      <c r="L13">
        <f>CAPM!I69</f>
        <v>7.6378472016721613E-2</v>
      </c>
    </row>
    <row r="14" spans="1:17" ht="13" thickBot="1">
      <c r="A14" s="21"/>
      <c r="B14" s="23" t="s">
        <v>6</v>
      </c>
      <c r="C14" s="22" t="s">
        <v>7</v>
      </c>
      <c r="D14" s="22" t="s">
        <v>8</v>
      </c>
      <c r="E14" s="23" t="s">
        <v>9</v>
      </c>
      <c r="F14" s="24" t="s">
        <v>10</v>
      </c>
      <c r="G14" s="12" t="s">
        <v>11</v>
      </c>
      <c r="J14" s="78"/>
      <c r="K14" t="s">
        <v>143</v>
      </c>
      <c r="L14" s="73">
        <f>L12+(L11*L13)</f>
        <v>4.8938961172342978E-3</v>
      </c>
    </row>
    <row r="15" spans="1:17" ht="15">
      <c r="A15" s="25" t="s">
        <v>12</v>
      </c>
      <c r="B15" s="19"/>
      <c r="C15" s="18"/>
      <c r="D15" s="18"/>
      <c r="E15" s="18"/>
      <c r="F15" s="18"/>
      <c r="G15" s="4"/>
      <c r="K15" s="82" t="s">
        <v>144</v>
      </c>
      <c r="L15" s="152">
        <f>(1+L14)^12-1</f>
        <v>6.0333540223563631E-2</v>
      </c>
    </row>
    <row r="16" spans="1:17">
      <c r="A16" s="26">
        <v>41244</v>
      </c>
      <c r="B16" s="119">
        <v>9.1954022988505191E-3</v>
      </c>
      <c r="C16" s="9">
        <v>-3.4921532588717663E-2</v>
      </c>
      <c r="D16" s="9">
        <v>0.12686475157193944</v>
      </c>
      <c r="E16" s="9">
        <v>7.0213275820752541E-2</v>
      </c>
      <c r="F16" s="9">
        <v>1.95E-2</v>
      </c>
      <c r="G16" s="10">
        <v>4.0999999999999995E-3</v>
      </c>
    </row>
    <row r="17" spans="1:12" ht="18">
      <c r="A17" s="26">
        <v>41214</v>
      </c>
      <c r="B17" s="119">
        <v>-8.2278481012658222E-2</v>
      </c>
      <c r="C17" s="9">
        <v>0.14357316087308014</v>
      </c>
      <c r="D17" s="9">
        <v>1.1977542108546402E-2</v>
      </c>
      <c r="E17" s="9">
        <v>-3.8257663056003754E-2</v>
      </c>
      <c r="F17" s="9">
        <v>2.5099999999999997E-2</v>
      </c>
      <c r="G17" s="10">
        <v>4.1999999999999997E-3</v>
      </c>
      <c r="J17" s="153" t="s">
        <v>130</v>
      </c>
    </row>
    <row r="18" spans="1:12">
      <c r="A18" s="26">
        <v>41183</v>
      </c>
      <c r="B18" s="119">
        <v>8.6799868981329853E-2</v>
      </c>
      <c r="C18" s="9">
        <v>3.7229582424953778E-2</v>
      </c>
      <c r="D18" s="9">
        <v>5.0045853530721995E-2</v>
      </c>
      <c r="E18" s="9">
        <v>1.998119417019284E-2</v>
      </c>
      <c r="F18" s="9">
        <v>1.8E-3</v>
      </c>
      <c r="G18" s="10">
        <v>4.0000000000000001E-3</v>
      </c>
      <c r="J18" t="s">
        <v>145</v>
      </c>
    </row>
    <row r="19" spans="1:12">
      <c r="A19" s="26">
        <v>41153</v>
      </c>
      <c r="B19" s="119">
        <v>4.055896387184732E-2</v>
      </c>
      <c r="C19" s="9">
        <v>8.7971578413128526E-3</v>
      </c>
      <c r="D19" s="9">
        <v>7.7898072352786674E-3</v>
      </c>
      <c r="E19" s="9">
        <v>9.9793174767321524E-2</v>
      </c>
      <c r="F19" s="9">
        <v>4.0000000000000002E-4</v>
      </c>
      <c r="G19" s="10">
        <v>4.0000000000000001E-3</v>
      </c>
      <c r="J19" t="s">
        <v>146</v>
      </c>
    </row>
    <row r="20" spans="1:12">
      <c r="A20" s="26">
        <v>41122</v>
      </c>
      <c r="B20" s="119">
        <v>-3.2959789057350086E-2</v>
      </c>
      <c r="C20" s="9">
        <v>-3.2040472175378643E-3</v>
      </c>
      <c r="D20" s="9">
        <v>-3.8588474232038705E-2</v>
      </c>
      <c r="E20" s="9">
        <v>2.5859839668984641E-4</v>
      </c>
      <c r="F20" s="9">
        <v>3.1E-2</v>
      </c>
      <c r="G20" s="10">
        <v>4.3E-3</v>
      </c>
      <c r="K20" s="74"/>
    </row>
    <row r="21" spans="1:12" ht="15">
      <c r="A21" s="26">
        <v>41091</v>
      </c>
      <c r="B21" s="119">
        <v>7.9734219269103068E-3</v>
      </c>
      <c r="C21" s="9">
        <v>-8.4028421377818963E-2</v>
      </c>
      <c r="D21" s="9">
        <v>-2.6084806527382876E-2</v>
      </c>
      <c r="E21" s="9">
        <v>-0.1768837803320561</v>
      </c>
      <c r="F21" s="9">
        <v>1.2999999999999998E-2</v>
      </c>
      <c r="G21" s="10">
        <v>3.5999999999999999E-3</v>
      </c>
      <c r="J21" s="82" t="s">
        <v>147</v>
      </c>
      <c r="K21" s="82"/>
      <c r="L21" s="152">
        <f>L8</f>
        <v>0.16155019829027606</v>
      </c>
    </row>
    <row r="22" spans="1:12">
      <c r="A22" s="26">
        <v>41061</v>
      </c>
      <c r="B22" s="119">
        <v>0.11895910780669161</v>
      </c>
      <c r="C22" s="9">
        <v>3.9165329052969433E-2</v>
      </c>
      <c r="D22" s="9">
        <v>-1.6045420883732397E-3</v>
      </c>
      <c r="E22" s="9">
        <v>-3.0740664328450684E-2</v>
      </c>
      <c r="F22" s="9">
        <v>1.9099999999999999E-2</v>
      </c>
      <c r="G22" s="10">
        <v>3.7000000000000002E-3</v>
      </c>
    </row>
    <row r="23" spans="1:12" ht="18">
      <c r="A23" s="26">
        <v>41030</v>
      </c>
      <c r="B23" s="119">
        <v>-4.8094709581947281E-3</v>
      </c>
      <c r="C23" s="9">
        <v>7.1182943603851356E-2</v>
      </c>
      <c r="D23" s="9">
        <v>2.7781301534948621E-2</v>
      </c>
      <c r="E23" s="9">
        <v>-2.8072989773410884E-2</v>
      </c>
      <c r="F23" s="9">
        <v>1.6000000000000001E-3</v>
      </c>
      <c r="G23" s="10">
        <v>3.4000000000000002E-3</v>
      </c>
      <c r="J23" s="153" t="s">
        <v>131</v>
      </c>
    </row>
    <row r="24" spans="1:12">
      <c r="A24" s="26">
        <v>41000</v>
      </c>
      <c r="B24" s="119">
        <v>-0.13002896684905052</v>
      </c>
      <c r="C24" s="9">
        <v>5.1527752666786997E-2</v>
      </c>
      <c r="D24" s="9">
        <v>-1.0543491904104418E-2</v>
      </c>
      <c r="E24" s="9">
        <v>8.901476835929456E-3</v>
      </c>
      <c r="F24" s="9">
        <v>4.0099999999999997E-2</v>
      </c>
      <c r="G24" s="10">
        <v>3.4999999999999996E-3</v>
      </c>
      <c r="J24" t="s">
        <v>148</v>
      </c>
    </row>
    <row r="25" spans="1:12">
      <c r="A25" s="26">
        <v>40969</v>
      </c>
      <c r="B25" s="119">
        <v>0.12899709302325579</v>
      </c>
      <c r="C25" s="9">
        <v>5.553435114503813E-2</v>
      </c>
      <c r="D25" s="9">
        <v>-1.0924891371818735E-2</v>
      </c>
      <c r="E25" s="9">
        <v>3.6268343815513582E-2</v>
      </c>
      <c r="F25" s="9">
        <v>3.5000000000000001E-3</v>
      </c>
      <c r="G25" s="10">
        <v>3.2000000000000002E-3</v>
      </c>
      <c r="J25" t="s">
        <v>107</v>
      </c>
      <c r="K25" t="s">
        <v>149</v>
      </c>
      <c r="L25" s="73">
        <f>'What is the AT Cost of Debt'!C19</f>
        <v>8.0231001542963476E-2</v>
      </c>
    </row>
    <row r="26" spans="1:12" ht="15">
      <c r="A26" s="26">
        <v>40940</v>
      </c>
      <c r="B26" s="119">
        <v>4.7184170471841647E-2</v>
      </c>
      <c r="C26" s="9">
        <v>7.2232453447923062E-2</v>
      </c>
      <c r="D26" s="9">
        <v>-7.5413223140495922E-2</v>
      </c>
      <c r="E26" s="9">
        <v>-0.11584800741427248</v>
      </c>
      <c r="F26" s="9">
        <v>4.0399999999999998E-2</v>
      </c>
      <c r="G26" s="10">
        <v>3.0999999999999999E-3</v>
      </c>
      <c r="K26" s="82" t="s">
        <v>150</v>
      </c>
      <c r="L26" s="152">
        <f>L25*(1-0.3)</f>
        <v>5.6161701080074428E-2</v>
      </c>
    </row>
    <row r="27" spans="1:12">
      <c r="A27" s="26">
        <v>40909</v>
      </c>
      <c r="B27" s="119">
        <v>5.7971014492753659E-2</v>
      </c>
      <c r="C27" s="9">
        <v>1.2220381110190415E-2</v>
      </c>
      <c r="D27" s="9">
        <v>8.831980012492191E-2</v>
      </c>
      <c r="E27" s="9">
        <v>-8.8186661767407637E-3</v>
      </c>
      <c r="F27" s="9">
        <v>-2.0799999999999999E-2</v>
      </c>
      <c r="G27" s="10">
        <v>2.7000000000000001E-3</v>
      </c>
      <c r="L27" s="73"/>
    </row>
    <row r="28" spans="1:12">
      <c r="A28" s="26">
        <v>40878</v>
      </c>
      <c r="B28" s="119">
        <v>-0.13055652782639138</v>
      </c>
      <c r="C28" s="9">
        <v>-2.7201289542615359E-2</v>
      </c>
      <c r="D28" s="9">
        <v>2.0655361468825628E-2</v>
      </c>
      <c r="E28" s="9">
        <v>-0.1161091263397207</v>
      </c>
      <c r="F28" s="9">
        <v>1.06E-2</v>
      </c>
      <c r="G28" s="10">
        <v>2.8999999999999998E-3</v>
      </c>
      <c r="J28" t="s">
        <v>108</v>
      </c>
      <c r="K28" t="s">
        <v>149</v>
      </c>
      <c r="L28" s="73">
        <f>'What is the AT Cost of Debt'!C40</f>
        <v>8.4788755327670717E-2</v>
      </c>
    </row>
    <row r="29" spans="1:12" ht="15">
      <c r="A29" s="26">
        <v>40848</v>
      </c>
      <c r="B29" s="119">
        <v>0.10779371849554087</v>
      </c>
      <c r="C29" s="9">
        <v>-9.3812375249501256E-3</v>
      </c>
      <c r="D29" s="9">
        <v>-4.9479827454959047E-3</v>
      </c>
      <c r="E29" s="9">
        <v>8.8947833775419927E-2</v>
      </c>
      <c r="F29" s="9">
        <v>-5.8999999999999999E-3</v>
      </c>
      <c r="G29" s="10">
        <v>3.0000000000000001E-3</v>
      </c>
      <c r="K29" s="82" t="s">
        <v>150</v>
      </c>
      <c r="L29" s="152">
        <f>L28*(1-0.3)</f>
        <v>5.9352128729369499E-2</v>
      </c>
    </row>
    <row r="30" spans="1:12">
      <c r="A30" s="26">
        <v>40817</v>
      </c>
      <c r="B30" s="119">
        <v>7.0124481327800803E-2</v>
      </c>
      <c r="C30" s="9">
        <v>5.5181128896377496E-2</v>
      </c>
      <c r="D30" s="9">
        <v>-3.1695331695331896E-2</v>
      </c>
      <c r="E30" s="9">
        <v>0.1206896551724137</v>
      </c>
      <c r="F30" s="9">
        <v>4.3299999999999998E-2</v>
      </c>
      <c r="G30" s="10">
        <v>2.3999999999999998E-3</v>
      </c>
      <c r="L30" s="73"/>
    </row>
    <row r="31" spans="1:12">
      <c r="A31" s="26">
        <v>40787</v>
      </c>
      <c r="B31" s="119">
        <v>-2.1121039805036546E-2</v>
      </c>
      <c r="C31" s="9">
        <v>5.3005100909292446E-2</v>
      </c>
      <c r="D31" s="9">
        <v>0.12477545944452118</v>
      </c>
      <c r="E31" s="9">
        <v>1.0614860805127302E-2</v>
      </c>
      <c r="F31" s="9">
        <v>1.15E-2</v>
      </c>
      <c r="G31" s="10">
        <v>2.3E-3</v>
      </c>
      <c r="J31" t="s">
        <v>109</v>
      </c>
      <c r="K31" t="s">
        <v>149</v>
      </c>
      <c r="L31" s="73">
        <f>'What is the AT Cost of Debt'!F47</f>
        <v>9.9000000000000005E-2</v>
      </c>
    </row>
    <row r="32" spans="1:12" ht="15">
      <c r="A32" s="26">
        <v>40756</v>
      </c>
      <c r="B32" s="119">
        <v>8.8898717381689529E-2</v>
      </c>
      <c r="C32" s="9">
        <v>3.2989690721649589E-2</v>
      </c>
      <c r="D32" s="9">
        <v>-1.7779587404994635E-2</v>
      </c>
      <c r="E32" s="9">
        <v>8.5670797999565007E-2</v>
      </c>
      <c r="F32" s="9">
        <v>3.7899999999999996E-2</v>
      </c>
      <c r="G32" s="10">
        <v>2.3999999999999998E-3</v>
      </c>
      <c r="K32" s="82" t="s">
        <v>150</v>
      </c>
      <c r="L32" s="152">
        <f>L31*(1-0.3)</f>
        <v>6.93E-2</v>
      </c>
    </row>
    <row r="33" spans="1:18">
      <c r="A33" s="26">
        <v>40725</v>
      </c>
      <c r="B33" s="119">
        <v>3.4782608695651973E-2</v>
      </c>
      <c r="C33" s="9">
        <v>3.9098436062556807E-3</v>
      </c>
      <c r="D33" s="9">
        <v>-8.2110647462646513E-3</v>
      </c>
      <c r="E33" s="9">
        <v>-6.4808813998703529E-3</v>
      </c>
      <c r="F33" s="9">
        <v>-2.52E-2</v>
      </c>
      <c r="G33" s="10">
        <v>2.0999999999999999E-3</v>
      </c>
    </row>
    <row r="34" spans="1:18" ht="18">
      <c r="A34" s="26">
        <v>40695</v>
      </c>
      <c r="B34" s="119">
        <v>-6.8230277185501009E-2</v>
      </c>
      <c r="C34" s="9">
        <v>3.2302722658050786E-3</v>
      </c>
      <c r="D34" s="9">
        <v>-0.16424794690066369</v>
      </c>
      <c r="E34" s="9">
        <v>3.3951306678579263E-2</v>
      </c>
      <c r="F34" s="9">
        <v>-1.6899999999999998E-2</v>
      </c>
      <c r="G34" s="10">
        <v>2.0999999999999999E-3</v>
      </c>
      <c r="J34" s="153" t="s">
        <v>132</v>
      </c>
    </row>
    <row r="35" spans="1:18">
      <c r="A35" s="26">
        <v>40664</v>
      </c>
      <c r="B35" s="119">
        <v>-3.7751333606893756E-2</v>
      </c>
      <c r="C35" s="9">
        <v>-3.2805177415755393E-2</v>
      </c>
      <c r="D35" s="9">
        <v>-1.2881732370905064E-2</v>
      </c>
      <c r="E35" s="9">
        <v>-0.14723809523809517</v>
      </c>
      <c r="F35" s="9">
        <v>2.2699999999999998E-2</v>
      </c>
      <c r="G35" s="10">
        <v>1.6000000000000001E-3</v>
      </c>
      <c r="J35" s="2" t="s">
        <v>151</v>
      </c>
    </row>
    <row r="36" spans="1:18">
      <c r="A36" s="26">
        <v>40634</v>
      </c>
      <c r="B36" s="119">
        <v>0.13878504672897218</v>
      </c>
      <c r="C36" s="9">
        <v>4.2093023255814099E-2</v>
      </c>
      <c r="D36" s="9">
        <v>-7.1664829106946604E-3</v>
      </c>
      <c r="E36" s="9">
        <v>0.31777108433734935</v>
      </c>
      <c r="F36" s="9">
        <v>-2.6599999999999999E-2</v>
      </c>
      <c r="G36" s="10">
        <v>1.6000000000000001E-3</v>
      </c>
      <c r="K36" s="154"/>
      <c r="L36" s="155"/>
      <c r="M36" s="156" t="s">
        <v>152</v>
      </c>
      <c r="N36" s="157" t="s">
        <v>163</v>
      </c>
      <c r="P36" s="165" t="s">
        <v>157</v>
      </c>
      <c r="Q36" s="166"/>
      <c r="R36" s="167"/>
    </row>
    <row r="37" spans="1:18">
      <c r="A37" s="26">
        <v>40603</v>
      </c>
      <c r="B37" s="119">
        <v>-9.7427245887811154E-2</v>
      </c>
      <c r="C37" s="9">
        <v>8.8607594936708889E-2</v>
      </c>
      <c r="D37" s="9">
        <v>-5.2345627416152896E-2</v>
      </c>
      <c r="E37" s="9">
        <v>6.3818424566088217E-2</v>
      </c>
      <c r="F37" s="9">
        <v>3.5199999999999995E-2</v>
      </c>
      <c r="G37" s="10">
        <v>1.6000000000000001E-3</v>
      </c>
      <c r="K37" s="169" t="s">
        <v>155</v>
      </c>
      <c r="L37" s="158"/>
      <c r="M37" s="159"/>
      <c r="N37" s="167"/>
      <c r="P37" s="181" t="s">
        <v>158</v>
      </c>
      <c r="Q37" s="182" t="s">
        <v>159</v>
      </c>
      <c r="R37" s="183" t="s">
        <v>160</v>
      </c>
    </row>
    <row r="38" spans="1:18">
      <c r="A38" s="26">
        <v>40575</v>
      </c>
      <c r="B38" s="119">
        <v>-1.4956377233070195E-2</v>
      </c>
      <c r="C38" s="9">
        <v>6.7567567567567544E-2</v>
      </c>
      <c r="D38" s="9">
        <v>4.6125259591212053E-2</v>
      </c>
      <c r="E38" s="9">
        <v>2.8281164195496977E-2</v>
      </c>
      <c r="F38" s="9">
        <v>4.82E-2</v>
      </c>
      <c r="G38" s="10">
        <v>1.5E-3</v>
      </c>
      <c r="K38" s="161" t="s">
        <v>107</v>
      </c>
      <c r="L38" s="158"/>
      <c r="M38" s="159">
        <f>SUMPRODUCT(Q38,R38)/1000000</f>
        <v>11603.5</v>
      </c>
      <c r="N38" s="176">
        <f>M38/$M$47</f>
        <v>0.30889536663605266</v>
      </c>
      <c r="P38" s="172" t="s">
        <v>165</v>
      </c>
      <c r="Q38" s="177">
        <v>1009</v>
      </c>
      <c r="R38" s="178">
        <v>11500000</v>
      </c>
    </row>
    <row r="39" spans="1:18">
      <c r="A39" s="26">
        <v>40544</v>
      </c>
      <c r="B39" s="119">
        <v>9.7082953509571412E-2</v>
      </c>
      <c r="C39" s="9">
        <v>8.9837997054491803E-2</v>
      </c>
      <c r="D39" s="9">
        <v>5.1971944348625954E-2</v>
      </c>
      <c r="E39" s="9">
        <v>6.9917743830787416E-2</v>
      </c>
      <c r="F39" s="9">
        <v>1.78E-2</v>
      </c>
      <c r="G39" s="10">
        <v>1.1000000000000001E-3</v>
      </c>
      <c r="K39" s="161" t="s">
        <v>108</v>
      </c>
      <c r="L39" s="158"/>
      <c r="M39" s="159">
        <f>SUMPRODUCT(Q39,R39)/1000000</f>
        <v>9531</v>
      </c>
      <c r="N39" s="176">
        <f>M39/$M$47</f>
        <v>0.25372359541588468</v>
      </c>
      <c r="P39" s="172" t="s">
        <v>166</v>
      </c>
      <c r="Q39" s="177">
        <v>1059</v>
      </c>
      <c r="R39" s="178">
        <v>9000000</v>
      </c>
    </row>
    <row r="40" spans="1:18">
      <c r="A40" s="26">
        <v>40513</v>
      </c>
      <c r="B40" s="119">
        <v>7.0243902439024453E-2</v>
      </c>
      <c r="C40" s="9">
        <v>-2.6439482961221339E-3</v>
      </c>
      <c r="D40" s="9">
        <v>4.6822339913336508E-2</v>
      </c>
      <c r="E40" s="9">
        <v>0</v>
      </c>
      <c r="F40" s="9">
        <v>2.06E-2</v>
      </c>
      <c r="G40" s="10">
        <v>1.1000000000000001E-3</v>
      </c>
      <c r="K40" s="161" t="s">
        <v>109</v>
      </c>
      <c r="L40" s="158"/>
      <c r="M40" s="159">
        <f>6200</f>
        <v>6200</v>
      </c>
      <c r="N40" s="197">
        <f>M40/$M$47</f>
        <v>0.16504944828228779</v>
      </c>
      <c r="P40" s="172" t="s">
        <v>167</v>
      </c>
      <c r="Q40" s="173" t="s">
        <v>161</v>
      </c>
      <c r="R40" s="174" t="s">
        <v>161</v>
      </c>
    </row>
    <row r="41" spans="1:18">
      <c r="A41" s="26">
        <v>40483</v>
      </c>
      <c r="B41" s="119">
        <v>5.1821446895844003E-2</v>
      </c>
      <c r="C41" s="9">
        <v>7.9606723755153652E-2</v>
      </c>
      <c r="D41" s="9">
        <v>1.2429929320009636E-2</v>
      </c>
      <c r="E41" s="9">
        <v>5.714285714285694E-2</v>
      </c>
      <c r="F41" s="9">
        <v>2.7000000000000001E-3</v>
      </c>
      <c r="G41" s="10">
        <v>1.1000000000000001E-3</v>
      </c>
      <c r="K41" s="161" t="s">
        <v>164</v>
      </c>
      <c r="L41" s="158"/>
      <c r="M41" s="159"/>
      <c r="N41" s="196">
        <f>SUM(N38:N40)</f>
        <v>0.72766841033422502</v>
      </c>
      <c r="P41" s="175" t="s">
        <v>162</v>
      </c>
      <c r="Q41" s="179">
        <v>62</v>
      </c>
      <c r="R41" s="180">
        <v>165000000</v>
      </c>
    </row>
    <row r="42" spans="1:18">
      <c r="A42" s="26">
        <v>40452</v>
      </c>
      <c r="B42" s="119">
        <v>4.6162104133118609E-2</v>
      </c>
      <c r="C42" s="9">
        <v>-1.0047095761381519E-2</v>
      </c>
      <c r="D42" s="9">
        <v>-2.5299916854733318E-2</v>
      </c>
      <c r="E42" s="9">
        <v>-2.8071234530636868E-2</v>
      </c>
      <c r="F42" s="9">
        <v>3.7699999999999997E-2</v>
      </c>
      <c r="G42" s="10">
        <v>1E-3</v>
      </c>
      <c r="K42" s="168"/>
      <c r="L42" s="63"/>
      <c r="M42" s="63"/>
      <c r="N42" s="171"/>
    </row>
    <row r="43" spans="1:18">
      <c r="A43" s="26">
        <v>40422</v>
      </c>
      <c r="B43" s="119">
        <v>-3.2207792207792241E-2</v>
      </c>
      <c r="C43" s="9">
        <v>1.3685550604710439E-2</v>
      </c>
      <c r="D43" s="9">
        <v>-1.2202276193828521E-2</v>
      </c>
      <c r="E43" s="9">
        <v>3.531250000000008E-2</v>
      </c>
      <c r="F43" s="9">
        <v>2.1599999999999998E-2</v>
      </c>
      <c r="G43" s="10">
        <v>8.0000000000000004E-4</v>
      </c>
      <c r="K43" s="169" t="s">
        <v>156</v>
      </c>
      <c r="L43" s="158"/>
      <c r="M43" s="159"/>
      <c r="N43" s="160"/>
    </row>
    <row r="44" spans="1:18">
      <c r="A44" s="26">
        <v>40391</v>
      </c>
      <c r="B44" s="119">
        <v>-4.4190665342601854E-2</v>
      </c>
      <c r="C44" s="9">
        <v>-9.2169893094481314E-2</v>
      </c>
      <c r="D44" s="9">
        <v>-5.0198459024047848E-3</v>
      </c>
      <c r="E44" s="9">
        <v>3.1347962382446415E-3</v>
      </c>
      <c r="F44" s="9">
        <v>1.4100000000000001E-2</v>
      </c>
      <c r="G44" s="10">
        <v>5.9999999999999995E-4</v>
      </c>
      <c r="K44" s="172" t="s">
        <v>162</v>
      </c>
      <c r="L44" s="63"/>
      <c r="M44" s="159">
        <f>SUMPRODUCT(Q41,R41)/1000000</f>
        <v>10230</v>
      </c>
      <c r="N44" s="176">
        <f>M44/$M$47</f>
        <v>0.27233158966577486</v>
      </c>
    </row>
    <row r="45" spans="1:18">
      <c r="A45" s="26">
        <v>40360</v>
      </c>
      <c r="B45" s="119">
        <v>8.0472103004291862E-2</v>
      </c>
      <c r="C45" s="9">
        <v>-3.4552260293693182E-3</v>
      </c>
      <c r="D45" s="9">
        <v>6.817113305124467E-3</v>
      </c>
      <c r="E45" s="9">
        <v>-1.5432098765432056E-2</v>
      </c>
      <c r="F45" s="9">
        <v>-2.4200000000000003E-2</v>
      </c>
      <c r="G45" s="10">
        <v>8.0000000000000004E-4</v>
      </c>
      <c r="K45" s="172" t="s">
        <v>125</v>
      </c>
      <c r="L45" s="63"/>
      <c r="M45" s="63">
        <v>0</v>
      </c>
      <c r="N45" s="176">
        <f>M45/$M$47</f>
        <v>0</v>
      </c>
    </row>
    <row r="46" spans="1:18">
      <c r="A46" s="26">
        <v>40330</v>
      </c>
      <c r="B46" s="119">
        <v>-0.1913232104121475</v>
      </c>
      <c r="C46" s="9">
        <v>1.6686182669789273E-2</v>
      </c>
      <c r="D46" s="9">
        <v>-3.9945836154366976E-2</v>
      </c>
      <c r="E46" s="9">
        <v>6.8954140547674125E-2</v>
      </c>
      <c r="F46" s="9">
        <v>-1.0699999999999999E-2</v>
      </c>
      <c r="G46" s="10">
        <v>8.9999999999999998E-4</v>
      </c>
      <c r="K46" s="168"/>
      <c r="L46" s="63"/>
      <c r="M46" s="63"/>
      <c r="N46" s="171"/>
    </row>
    <row r="47" spans="1:18">
      <c r="A47" s="26">
        <v>40299</v>
      </c>
      <c r="B47" s="119">
        <v>0.16296670030272464</v>
      </c>
      <c r="C47" s="9">
        <v>-4.6875000000000222E-2</v>
      </c>
      <c r="D47" s="9">
        <v>-4.8324742268041287E-2</v>
      </c>
      <c r="E47" s="9">
        <v>4.4452101998621707E-2</v>
      </c>
      <c r="F47" s="9">
        <v>1.55E-2</v>
      </c>
      <c r="G47" s="10">
        <v>5.9999999999999995E-4</v>
      </c>
      <c r="K47" s="170" t="s">
        <v>154</v>
      </c>
      <c r="L47" s="162"/>
      <c r="M47" s="163">
        <f>SUM(M38:M44)</f>
        <v>37564.5</v>
      </c>
      <c r="N47" s="164">
        <f>M47/$M$47</f>
        <v>1</v>
      </c>
    </row>
    <row r="48" spans="1:18">
      <c r="A48" s="26">
        <v>40269</v>
      </c>
      <c r="B48" s="119">
        <v>3.8239916186485035E-2</v>
      </c>
      <c r="C48" s="9">
        <v>9.2682926829268597E-2</v>
      </c>
      <c r="D48" s="9">
        <v>-2.5941422594142116E-2</v>
      </c>
      <c r="E48" s="9">
        <v>1.8603018603018606E-2</v>
      </c>
      <c r="F48" s="9">
        <v>2.3100000000000002E-2</v>
      </c>
      <c r="G48" s="10">
        <v>7.000000000000001E-4</v>
      </c>
    </row>
    <row r="49" spans="1:14" ht="18">
      <c r="A49" s="26">
        <v>40238</v>
      </c>
      <c r="B49" s="119">
        <v>-0.13266696955929125</v>
      </c>
      <c r="C49" s="9">
        <v>1.9266625233063994E-2</v>
      </c>
      <c r="D49" s="9">
        <v>7.0668607906820391E-2</v>
      </c>
      <c r="E49" s="9">
        <v>1.0283687943262398E-2</v>
      </c>
      <c r="F49" s="9">
        <v>4.5499999999999999E-2</v>
      </c>
      <c r="G49" s="10">
        <v>8.0000000000000004E-4</v>
      </c>
      <c r="J49" s="184" t="s">
        <v>133</v>
      </c>
    </row>
    <row r="50" spans="1:14">
      <c r="A50" s="26">
        <v>40210</v>
      </c>
      <c r="B50" s="119">
        <v>1.6628175519630695E-2</v>
      </c>
      <c r="C50" s="9">
        <v>4.1087026852151487E-2</v>
      </c>
      <c r="D50" s="9">
        <v>2.361572853376126E-2</v>
      </c>
      <c r="E50" s="9">
        <v>0.10285490809542419</v>
      </c>
      <c r="F50" s="9">
        <v>1.66E-2</v>
      </c>
      <c r="G50" s="10">
        <v>7.000000000000001E-4</v>
      </c>
    </row>
    <row r="51" spans="1:14">
      <c r="A51" s="26">
        <v>40179</v>
      </c>
      <c r="B51" s="119">
        <v>0.15282215122470699</v>
      </c>
      <c r="C51" s="9">
        <v>2.0805812417437286E-2</v>
      </c>
      <c r="D51" s="9">
        <v>1.3712957582800778E-2</v>
      </c>
      <c r="E51" s="9">
        <v>1.6699801192842978E-2</v>
      </c>
      <c r="F51" s="9">
        <v>6.0299999999999999E-2</v>
      </c>
      <c r="G51" s="10">
        <v>7.000000000000001E-4</v>
      </c>
      <c r="J51" s="42" t="s">
        <v>168</v>
      </c>
    </row>
    <row r="52" spans="1:14">
      <c r="A52" s="26">
        <v>40148</v>
      </c>
      <c r="B52" s="119">
        <v>3.4140969162995694E-2</v>
      </c>
      <c r="C52" s="9">
        <v>7.4139765874423613E-2</v>
      </c>
      <c r="D52" s="9">
        <v>1.3068048033906265E-2</v>
      </c>
      <c r="E52" s="9">
        <v>0.23163565132223285</v>
      </c>
      <c r="F52" s="9">
        <v>-9.0999999999999987E-3</v>
      </c>
      <c r="G52" s="10">
        <v>8.0000000000000004E-4</v>
      </c>
      <c r="J52" s="42" t="s">
        <v>170</v>
      </c>
    </row>
    <row r="53" spans="1:14">
      <c r="A53" s="26">
        <v>40118</v>
      </c>
      <c r="B53" s="119">
        <v>-6.8240123140071773E-2</v>
      </c>
      <c r="C53" s="9">
        <v>-1.7770034843205496E-2</v>
      </c>
      <c r="D53" s="9">
        <v>7.6962089514390764E-2</v>
      </c>
      <c r="E53" s="9">
        <v>8.9647812166488983E-2</v>
      </c>
      <c r="F53" s="9">
        <v>2.4899999999999999E-2</v>
      </c>
      <c r="G53" s="10">
        <v>7.000000000000001E-4</v>
      </c>
      <c r="J53" s="42"/>
    </row>
    <row r="54" spans="1:14">
      <c r="A54" s="26">
        <v>40087</v>
      </c>
      <c r="B54" s="119">
        <v>0.18049666868564485</v>
      </c>
      <c r="C54" s="9">
        <v>0.12947658402203843</v>
      </c>
      <c r="D54" s="9">
        <v>1.1413182867402005E-2</v>
      </c>
      <c r="E54" s="9">
        <v>-4.8730964467005089E-2</v>
      </c>
      <c r="F54" s="9">
        <v>2.3100000000000002E-2</v>
      </c>
      <c r="G54" s="10">
        <v>7.000000000000001E-4</v>
      </c>
      <c r="K54" s="193" t="s">
        <v>169</v>
      </c>
      <c r="L54" s="185"/>
      <c r="M54" s="195" t="s">
        <v>173</v>
      </c>
      <c r="N54" s="194" t="s">
        <v>172</v>
      </c>
    </row>
    <row r="55" spans="1:14">
      <c r="A55" s="26">
        <v>40057</v>
      </c>
      <c r="B55" s="119">
        <v>-4.3453070683661665E-2</v>
      </c>
      <c r="C55" s="9">
        <v>3.250711093051617E-2</v>
      </c>
      <c r="D55" s="9">
        <v>-1.5155342258146076E-2</v>
      </c>
      <c r="E55" s="9">
        <v>8.1883316274309337E-3</v>
      </c>
      <c r="F55" s="9">
        <v>1.6300000000000002E-2</v>
      </c>
      <c r="G55" s="10">
        <v>1E-3</v>
      </c>
      <c r="K55" s="168"/>
      <c r="L55" s="187" t="s">
        <v>171</v>
      </c>
      <c r="M55" s="187" t="s">
        <v>179</v>
      </c>
      <c r="N55" s="192" t="s">
        <v>179</v>
      </c>
    </row>
    <row r="56" spans="1:14">
      <c r="A56" s="26">
        <v>40026</v>
      </c>
      <c r="B56" s="119">
        <v>2.3724792408066575E-2</v>
      </c>
      <c r="C56" s="9">
        <v>-2.3025009924573347E-2</v>
      </c>
      <c r="D56" s="9">
        <v>-6.2958579881656762E-2</v>
      </c>
      <c r="E56" s="9">
        <v>7.9558011049723598E-2</v>
      </c>
      <c r="F56" s="9">
        <v>6.3500000000000001E-2</v>
      </c>
      <c r="G56" s="10">
        <v>8.9999999999999998E-4</v>
      </c>
      <c r="K56" s="172" t="s">
        <v>174</v>
      </c>
      <c r="L56" s="189">
        <f>N38</f>
        <v>0.30889536663605266</v>
      </c>
      <c r="M56" s="198">
        <f>WACC!F4</f>
        <v>5.6161701080074428E-2</v>
      </c>
      <c r="N56" s="199">
        <f>WACC!G4</f>
        <v>5.6161701080074428E-2</v>
      </c>
    </row>
    <row r="57" spans="1:14">
      <c r="A57" s="26">
        <v>39995</v>
      </c>
      <c r="B57" s="119">
        <v>0.17655268667131896</v>
      </c>
      <c r="C57" s="9">
        <v>3.237704918032791E-2</v>
      </c>
      <c r="D57" s="9">
        <v>3.897700725439579E-2</v>
      </c>
      <c r="E57" s="9">
        <v>0.25694444444444442</v>
      </c>
      <c r="F57" s="9">
        <v>8.2799999999999999E-2</v>
      </c>
      <c r="G57" s="10">
        <v>1E-3</v>
      </c>
      <c r="K57" s="172" t="s">
        <v>175</v>
      </c>
      <c r="L57" s="189">
        <f>N39</f>
        <v>0.25372359541588468</v>
      </c>
      <c r="M57" s="198">
        <f>WACC!F5</f>
        <v>5.9352128729369499E-2</v>
      </c>
      <c r="N57" s="199">
        <f>WACC!G5</f>
        <v>5.9352128729369499E-2</v>
      </c>
    </row>
    <row r="58" spans="1:14">
      <c r="A58" s="26">
        <v>39965</v>
      </c>
      <c r="B58" s="119">
        <v>-3.8900067069081112E-2</v>
      </c>
      <c r="C58" s="9">
        <v>0.18504128217581339</v>
      </c>
      <c r="D58" s="9">
        <v>8.2523625715426707E-2</v>
      </c>
      <c r="E58" s="9">
        <v>0.14649681528662417</v>
      </c>
      <c r="F58" s="9">
        <v>1.03E-2</v>
      </c>
      <c r="G58" s="10">
        <v>1E-3</v>
      </c>
      <c r="K58" s="172" t="s">
        <v>176</v>
      </c>
      <c r="L58" s="189">
        <f>N40</f>
        <v>0.16504944828228779</v>
      </c>
      <c r="M58" s="198">
        <f>WACC!F6</f>
        <v>6.93E-2</v>
      </c>
      <c r="N58" s="199">
        <f>WACC!G6</f>
        <v>6.93E-2</v>
      </c>
    </row>
    <row r="59" spans="1:14">
      <c r="A59" s="26">
        <v>39934</v>
      </c>
      <c r="B59" s="119">
        <v>-3.495145631067953E-2</v>
      </c>
      <c r="C59" s="9">
        <v>4.2531645569620302E-2</v>
      </c>
      <c r="D59" s="9">
        <v>6.1604392661041008E-3</v>
      </c>
      <c r="E59" s="9">
        <v>0.19278252611585955</v>
      </c>
      <c r="F59" s="9">
        <v>-1.5399999999999999E-2</v>
      </c>
      <c r="G59" s="10">
        <v>8.9999999999999998E-4</v>
      </c>
      <c r="K59" s="168"/>
      <c r="L59" s="190"/>
      <c r="M59" s="190"/>
      <c r="N59" s="188"/>
    </row>
    <row r="60" spans="1:14">
      <c r="A60" s="26">
        <v>39904</v>
      </c>
      <c r="B60" s="119">
        <v>-2.0291693088142049E-2</v>
      </c>
      <c r="C60" s="9">
        <v>6.9301570113697863E-2</v>
      </c>
      <c r="D60" s="9">
        <v>-1.3374348000534386E-3</v>
      </c>
      <c r="E60" s="9">
        <v>0.14208242950108452</v>
      </c>
      <c r="F60" s="9">
        <v>-2.3399999999999997E-2</v>
      </c>
      <c r="G60" s="10">
        <v>1E-3</v>
      </c>
      <c r="K60" s="172" t="s">
        <v>177</v>
      </c>
      <c r="L60" s="203">
        <f>N44*0.7</f>
        <v>0.19063211276604239</v>
      </c>
      <c r="M60" s="198">
        <f>WACC!F8</f>
        <v>0.16155019829027606</v>
      </c>
      <c r="N60" s="199">
        <f>WACC!G8</f>
        <v>6.0333540223563631E-2</v>
      </c>
    </row>
    <row r="61" spans="1:14">
      <c r="A61" s="26">
        <v>39873</v>
      </c>
      <c r="B61" s="119">
        <v>6.7704807041299997E-2</v>
      </c>
      <c r="C61" s="9">
        <v>-6.9892473118280396E-3</v>
      </c>
      <c r="D61" s="9">
        <v>9.0418353576249277E-3</v>
      </c>
      <c r="E61" s="9">
        <v>0.13267813267813278</v>
      </c>
      <c r="F61" s="9">
        <v>-5.3300000000000007E-2</v>
      </c>
      <c r="G61" s="10">
        <v>1.1000000000000001E-3</v>
      </c>
      <c r="K61" s="172" t="s">
        <v>124</v>
      </c>
      <c r="L61" s="203">
        <f>N44*0.3</f>
        <v>8.1699476899732462E-2</v>
      </c>
      <c r="M61" s="198">
        <f>WACC!F9</f>
        <v>0.16155019829027606</v>
      </c>
      <c r="N61" s="199">
        <f>WACC!G9</f>
        <v>6.0333540223563631E-2</v>
      </c>
    </row>
    <row r="62" spans="1:14">
      <c r="A62" s="26">
        <v>39845</v>
      </c>
      <c r="B62" s="119">
        <v>5.8022922636103091E-2</v>
      </c>
      <c r="C62" s="9">
        <v>-0.11973497397065769</v>
      </c>
      <c r="D62" s="9">
        <v>-0.10841054024786434</v>
      </c>
      <c r="E62" s="9">
        <v>8.2446808510638459E-2</v>
      </c>
      <c r="F62" s="9">
        <v>6.13E-2</v>
      </c>
      <c r="G62" s="10">
        <v>1.1999999999999999E-3</v>
      </c>
      <c r="K62" s="168"/>
      <c r="L62" s="190"/>
      <c r="M62" s="190"/>
      <c r="N62" s="188"/>
    </row>
    <row r="63" spans="1:14">
      <c r="A63" s="26">
        <v>39814</v>
      </c>
      <c r="B63" s="119">
        <v>-2.6499302649930168E-2</v>
      </c>
      <c r="C63" s="9">
        <v>9.9947943779281623E-2</v>
      </c>
      <c r="D63" s="9">
        <v>0.10313246615343763</v>
      </c>
      <c r="E63" s="9">
        <v>0.24297520661157024</v>
      </c>
      <c r="F63" s="9">
        <v>7.4999999999999997E-2</v>
      </c>
      <c r="G63" s="10">
        <v>1.4000000000000002E-3</v>
      </c>
      <c r="K63" s="172" t="s">
        <v>153</v>
      </c>
      <c r="L63" s="189">
        <v>0</v>
      </c>
      <c r="M63" s="189">
        <v>0</v>
      </c>
      <c r="N63" s="200">
        <v>0</v>
      </c>
    </row>
    <row r="64" spans="1:14">
      <c r="A64" s="26">
        <v>39783</v>
      </c>
      <c r="B64" s="9">
        <v>-3.1081081081081097E-2</v>
      </c>
      <c r="C64" s="9">
        <v>-0.10941121928604536</v>
      </c>
      <c r="D64" s="9">
        <v>0.35381850853548968</v>
      </c>
      <c r="E64" s="9">
        <v>-4.2721518987341889E-2</v>
      </c>
      <c r="F64" s="9">
        <v>0.04</v>
      </c>
      <c r="G64" s="10">
        <v>1.4000000000000002E-3</v>
      </c>
      <c r="K64" s="168"/>
      <c r="L64" s="191"/>
      <c r="M64" s="191"/>
      <c r="N64" s="188"/>
    </row>
    <row r="65" spans="1:14">
      <c r="A65" s="26">
        <v>39753</v>
      </c>
      <c r="B65" s="9">
        <v>-3.2047089601046297E-2</v>
      </c>
      <c r="C65" s="9">
        <v>-0.15577299412915857</v>
      </c>
      <c r="D65" s="9">
        <v>-0.22643869891576318</v>
      </c>
      <c r="E65" s="9">
        <v>-0.14013605442176857</v>
      </c>
      <c r="F65" s="9">
        <v>8.0000000000000002E-3</v>
      </c>
      <c r="G65" s="10">
        <v>1.4000000000000002E-3</v>
      </c>
      <c r="K65" s="186" t="s">
        <v>178</v>
      </c>
      <c r="L65" s="204"/>
      <c r="M65" s="202">
        <f>(L56*M56)+(L57*M57)+(L58*M58)+(L60*M60)+(L61*M61)</f>
        <v>8.7840273820010611E-2</v>
      </c>
      <c r="N65" s="201">
        <f>CAPM!G81</f>
        <v>6.0333540223563631E-2</v>
      </c>
    </row>
    <row r="66" spans="1:14">
      <c r="A66" s="26">
        <v>39722</v>
      </c>
      <c r="B66" s="9">
        <v>4.8696844993141308E-2</v>
      </c>
      <c r="C66" s="9">
        <v>-1.4654839953721521E-2</v>
      </c>
      <c r="D66" s="9">
        <v>7.3090692124104795E-2</v>
      </c>
      <c r="E66" s="9">
        <v>0.21487603305785119</v>
      </c>
      <c r="F66" s="9">
        <v>-8.1099999999999992E-2</v>
      </c>
      <c r="G66" s="10">
        <v>1.5E-3</v>
      </c>
      <c r="K66" s="166"/>
      <c r="L66" s="166"/>
      <c r="M66" s="166"/>
      <c r="N66" s="166"/>
    </row>
    <row r="67" spans="1:14">
      <c r="A67" s="26">
        <v>39692</v>
      </c>
      <c r="B67" s="9">
        <v>-0.19313779745434423</v>
      </c>
      <c r="C67" s="9">
        <v>-0.12190992211310536</v>
      </c>
      <c r="D67" s="9">
        <v>-2.2170361726954413E-2</v>
      </c>
      <c r="E67" s="9">
        <v>-4.4233807266982672E-2</v>
      </c>
      <c r="F67" s="9">
        <v>-7.0200000000000012E-2</v>
      </c>
      <c r="G67" s="10">
        <v>1.2999999999999999E-3</v>
      </c>
      <c r="K67" s="63"/>
      <c r="L67" s="63"/>
      <c r="M67" s="63"/>
      <c r="N67" s="63"/>
    </row>
    <row r="68" spans="1:14">
      <c r="A68" s="26">
        <v>39661</v>
      </c>
      <c r="B68" s="9">
        <v>-0.12873674059787843</v>
      </c>
      <c r="C68" s="9">
        <v>-7.4294670846394961E-2</v>
      </c>
      <c r="D68" s="9">
        <v>-0.1050776661010312</v>
      </c>
      <c r="E68" s="9">
        <v>-4.5248868778280493E-2</v>
      </c>
      <c r="F68" s="9">
        <v>-1.0499999999999999E-2</v>
      </c>
      <c r="G68" s="10">
        <v>1.4000000000000002E-3</v>
      </c>
      <c r="K68" s="63"/>
      <c r="L68" s="63"/>
      <c r="M68" s="63"/>
      <c r="N68" s="63"/>
    </row>
    <row r="69" spans="1:14">
      <c r="A69" s="26">
        <v>39630</v>
      </c>
      <c r="B69" s="9">
        <v>9.1004734350341732E-2</v>
      </c>
      <c r="C69" s="9">
        <v>5.2110817941952492E-2</v>
      </c>
      <c r="D69" s="9">
        <v>-3.7562814070351669E-2</v>
      </c>
      <c r="E69" s="9">
        <v>-0.26086956521739135</v>
      </c>
      <c r="F69" s="9">
        <v>-4.9600000000000005E-2</v>
      </c>
      <c r="G69" s="10">
        <v>1.5E-3</v>
      </c>
      <c r="K69" s="63"/>
      <c r="L69" s="63"/>
      <c r="M69" s="63"/>
      <c r="N69" s="63"/>
    </row>
    <row r="70" spans="1:14">
      <c r="A70" s="26">
        <v>39600</v>
      </c>
      <c r="B70" s="9">
        <v>8.1342434584755541E-2</v>
      </c>
      <c r="C70" s="9">
        <v>-2.5706940874036022E-2</v>
      </c>
      <c r="D70" s="9">
        <v>-0.19465803318494546</v>
      </c>
      <c r="E70" s="9">
        <v>-0.1747930082796687</v>
      </c>
      <c r="F70" s="9">
        <v>4.4700000000000004E-2</v>
      </c>
      <c r="G70" s="10">
        <v>1.2999999999999999E-3</v>
      </c>
      <c r="K70" s="63"/>
      <c r="L70" s="63"/>
      <c r="M70" s="63"/>
      <c r="N70" s="63"/>
    </row>
    <row r="71" spans="1:14">
      <c r="A71" s="26">
        <v>39569</v>
      </c>
      <c r="B71" s="9">
        <v>2.8671737858396718E-2</v>
      </c>
      <c r="C71" s="9">
        <v>0.14664701547531322</v>
      </c>
      <c r="D71" s="9">
        <v>5.9946380697051049E-2</v>
      </c>
      <c r="E71" s="9">
        <v>5.5339805825242561E-2</v>
      </c>
      <c r="F71" s="9">
        <v>-2.1700000000000001E-2</v>
      </c>
      <c r="G71" s="10">
        <v>1.2999999999999999E-3</v>
      </c>
      <c r="K71" s="63"/>
      <c r="L71" s="63"/>
      <c r="M71" s="63"/>
      <c r="N71" s="63"/>
    </row>
    <row r="72" spans="1:14">
      <c r="A72" s="26">
        <v>39539</v>
      </c>
      <c r="B72" s="9">
        <v>5.5589870290302601E-2</v>
      </c>
      <c r="C72" s="9">
        <v>1.6479400749063622E-2</v>
      </c>
      <c r="D72" s="9">
        <v>-8.935546875E-2</v>
      </c>
      <c r="E72" s="9">
        <v>-2.0912547528517011E-2</v>
      </c>
      <c r="F72" s="9">
        <v>-1.6100000000000003E-2</v>
      </c>
      <c r="G72" s="10">
        <v>1.4000000000000002E-3</v>
      </c>
      <c r="K72" s="63"/>
      <c r="L72" s="63"/>
      <c r="M72" s="63"/>
      <c r="N72" s="63"/>
    </row>
    <row r="73" spans="1:14">
      <c r="A73" s="26">
        <v>39508</v>
      </c>
      <c r="B73" s="9">
        <v>7.2185430463576283E-2</v>
      </c>
      <c r="C73" s="9">
        <v>-2.1260997067448772E-2</v>
      </c>
      <c r="D73" s="9">
        <v>-0.10809162964898522</v>
      </c>
      <c r="E73" s="9">
        <v>-0.11522287636669482</v>
      </c>
      <c r="F73" s="9">
        <v>1.78E-2</v>
      </c>
      <c r="G73" s="10">
        <v>1.5E-3</v>
      </c>
      <c r="K73" s="63"/>
      <c r="L73" s="63"/>
      <c r="M73" s="63"/>
      <c r="N73" s="63"/>
    </row>
    <row r="74" spans="1:14">
      <c r="A74" s="26">
        <v>39479</v>
      </c>
      <c r="B74" s="9">
        <v>5.3733426378227422E-2</v>
      </c>
      <c r="C74" s="9">
        <v>3.3100404560499896E-3</v>
      </c>
      <c r="D74" s="9">
        <v>4.6486190866830812E-2</v>
      </c>
      <c r="E74" s="9">
        <v>0.2308488612836439</v>
      </c>
      <c r="F74" s="9">
        <v>7.8699999999999992E-2</v>
      </c>
      <c r="G74" s="10">
        <v>1.7000000000000001E-3</v>
      </c>
      <c r="K74" s="63"/>
      <c r="L74" s="63"/>
      <c r="M74" s="63"/>
      <c r="N74" s="63"/>
    </row>
    <row r="75" spans="1:14">
      <c r="A75" s="26">
        <v>39448</v>
      </c>
      <c r="B75" s="9">
        <v>-2.1843003412969297E-2</v>
      </c>
      <c r="C75" s="9">
        <v>-2.1238300935925158E-2</v>
      </c>
      <c r="D75" s="9">
        <v>7.0863836017569515E-2</v>
      </c>
      <c r="E75" s="9">
        <v>8.7837837837837718E-2</v>
      </c>
      <c r="F75" s="9">
        <v>2.8000000000000001E-2</v>
      </c>
      <c r="G75" s="10">
        <v>2.2000000000000001E-3</v>
      </c>
      <c r="K75" s="63"/>
      <c r="L75" s="63"/>
      <c r="M75" s="63"/>
      <c r="N75" s="63"/>
    </row>
    <row r="76" spans="1:14">
      <c r="A76" s="26">
        <v>39417</v>
      </c>
      <c r="B76" s="9">
        <v>-0.10177805027590425</v>
      </c>
      <c r="C76" s="9">
        <v>-2.320675105485237E-2</v>
      </c>
      <c r="D76" s="9">
        <v>0.17826336975273138</v>
      </c>
      <c r="E76" s="9">
        <v>-3.3670033670032407E-3</v>
      </c>
      <c r="F76" s="9">
        <v>-9.1499999999999998E-2</v>
      </c>
      <c r="G76" s="10">
        <v>2.8000000000000004E-3</v>
      </c>
    </row>
    <row r="77" spans="1:14">
      <c r="A77" s="26">
        <v>39387</v>
      </c>
      <c r="B77" s="9">
        <v>8.3001328021248266E-2</v>
      </c>
      <c r="C77" s="9">
        <v>-9.6856144807875411E-2</v>
      </c>
      <c r="D77" s="9">
        <v>-8.2321899736147675E-2</v>
      </c>
      <c r="E77" s="9">
        <v>-0.16651075771749291</v>
      </c>
      <c r="F77" s="9">
        <v>-5.91E-2</v>
      </c>
      <c r="G77" s="10">
        <v>3.0999999999999999E-3</v>
      </c>
    </row>
    <row r="78" spans="1:14">
      <c r="A78" s="26">
        <v>39356</v>
      </c>
      <c r="B78" s="9">
        <v>7.5714285714285845E-2</v>
      </c>
      <c r="C78" s="9">
        <v>9.1507798960138498E-2</v>
      </c>
      <c r="D78" s="9">
        <v>-4.8694779116465803E-2</v>
      </c>
      <c r="E78" s="9">
        <v>-9.1758708581138548E-2</v>
      </c>
      <c r="F78" s="9">
        <v>-1.83E-2</v>
      </c>
      <c r="G78" s="10">
        <v>3.0000000000000001E-3</v>
      </c>
    </row>
    <row r="79" spans="1:14">
      <c r="A79" s="26">
        <v>39326</v>
      </c>
      <c r="B79" s="9">
        <v>-1.6853932584269704E-2</v>
      </c>
      <c r="C79" s="9">
        <v>-3.6727879799666074E-2</v>
      </c>
      <c r="D79" s="9">
        <v>-7.3057235923685515E-2</v>
      </c>
      <c r="E79" s="9">
        <v>-5.2334943639291476E-2</v>
      </c>
      <c r="F79" s="9">
        <v>-1.7499999999999998E-2</v>
      </c>
      <c r="G79" s="10">
        <v>2.8000000000000004E-3</v>
      </c>
    </row>
    <row r="80" spans="1:14">
      <c r="A80" s="26">
        <v>39295</v>
      </c>
      <c r="B80" s="9">
        <v>-8.1882656350741434E-2</v>
      </c>
      <c r="C80" s="9">
        <v>5.0140252454417888E-2</v>
      </c>
      <c r="D80" s="9">
        <v>1.5211640211640232E-2</v>
      </c>
      <c r="E80" s="9">
        <v>-0.20638977635782751</v>
      </c>
      <c r="F80" s="9">
        <v>1.06E-2</v>
      </c>
      <c r="G80" s="10">
        <v>3.2000000000000002E-3</v>
      </c>
    </row>
    <row r="81" spans="1:7">
      <c r="A81" s="26">
        <v>39264</v>
      </c>
      <c r="B81" s="9">
        <v>1.6382699868938477E-2</v>
      </c>
      <c r="C81" s="9">
        <v>5.3954175905395418E-2</v>
      </c>
      <c r="D81" s="9">
        <v>-2.7831358500964409E-2</v>
      </c>
      <c r="E81" s="9">
        <v>3.5052910052910224E-2</v>
      </c>
      <c r="F81" s="9">
        <v>8.3900000000000002E-2</v>
      </c>
      <c r="G81" s="10">
        <v>3.9000000000000003E-3</v>
      </c>
    </row>
    <row r="82" spans="1:7">
      <c r="A82" s="26">
        <v>39234</v>
      </c>
      <c r="B82" s="9">
        <v>0.14307116104868922</v>
      </c>
      <c r="C82" s="9">
        <v>0.19999999999999996</v>
      </c>
      <c r="D82" s="9">
        <v>0.19703133589884558</v>
      </c>
      <c r="E82" s="9">
        <v>-2.5145067698259194E-2</v>
      </c>
      <c r="F82" s="9">
        <v>-7.0300000000000001E-2</v>
      </c>
      <c r="G82" s="10">
        <v>4.4000000000000003E-3</v>
      </c>
    </row>
    <row r="83" spans="1:7">
      <c r="A83" s="26">
        <v>39203</v>
      </c>
      <c r="B83" s="9">
        <v>-0.11764705882352944</v>
      </c>
      <c r="C83" s="9">
        <v>-0.11360062893081768</v>
      </c>
      <c r="D83" s="9">
        <v>-3.7158585644717301E-2</v>
      </c>
      <c r="E83" s="9">
        <v>-4.6125461254612699E-2</v>
      </c>
      <c r="F83" s="9">
        <v>-9.9299999999999999E-2</v>
      </c>
      <c r="G83" s="10">
        <v>3.9000000000000003E-3</v>
      </c>
    </row>
    <row r="84" spans="1:7">
      <c r="A84" s="26">
        <v>39173</v>
      </c>
      <c r="B84" s="9">
        <v>4.705882352941182E-2</v>
      </c>
      <c r="C84" s="9">
        <v>1.3949780789159094E-2</v>
      </c>
      <c r="D84" s="9">
        <v>-0.10701455851767827</v>
      </c>
      <c r="E84" s="9">
        <v>1.9435736677116067E-2</v>
      </c>
      <c r="F84" s="9">
        <v>3.95E-2</v>
      </c>
      <c r="G84" s="10">
        <v>5.4000000000000003E-3</v>
      </c>
    </row>
    <row r="85" spans="1:7">
      <c r="A85" s="26">
        <v>39142</v>
      </c>
      <c r="B85" s="9">
        <v>-5.5555555555555691E-2</v>
      </c>
      <c r="C85" s="9">
        <v>-6.4155165982842211E-2</v>
      </c>
      <c r="D85" s="9">
        <v>0.31763826606875933</v>
      </c>
      <c r="E85" s="9">
        <v>1.8844221105527303E-3</v>
      </c>
      <c r="F85" s="9">
        <v>2.0300000000000002E-2</v>
      </c>
      <c r="G85" s="10">
        <v>5.0000000000000001E-3</v>
      </c>
    </row>
    <row r="86" spans="1:7">
      <c r="A86" s="26">
        <v>39114</v>
      </c>
      <c r="B86" s="9">
        <v>9.2077087794432577E-2</v>
      </c>
      <c r="C86" s="9">
        <v>0.27727489280609818</v>
      </c>
      <c r="D86" s="9">
        <v>-9.0929679537991137E-2</v>
      </c>
      <c r="E86" s="9">
        <v>-3.0450669914738215E-2</v>
      </c>
      <c r="F86" s="9">
        <v>5.2499999999999998E-2</v>
      </c>
      <c r="G86" s="10">
        <v>5.1000000000000004E-3</v>
      </c>
    </row>
    <row r="87" spans="1:7">
      <c r="A87" s="26">
        <v>39083</v>
      </c>
      <c r="B87" s="9">
        <v>0.12983870967741939</v>
      </c>
      <c r="C87" s="9">
        <v>2.1411192214111807E-2</v>
      </c>
      <c r="D87" s="9">
        <v>-4.9612569952647401E-2</v>
      </c>
      <c r="E87" s="9">
        <v>1.1083743842364768E-2</v>
      </c>
      <c r="F87" s="9">
        <v>-2.46E-2</v>
      </c>
      <c r="G87" s="10">
        <v>5.6000000000000008E-3</v>
      </c>
    </row>
    <row r="88" spans="1:7">
      <c r="A88" s="26">
        <v>39052</v>
      </c>
      <c r="B88" s="9">
        <v>-0.12305516265912309</v>
      </c>
      <c r="C88" s="9">
        <v>-5.6040422599908046E-2</v>
      </c>
      <c r="D88" s="9">
        <v>-0.12529417302080392</v>
      </c>
      <c r="E88" s="9">
        <v>-3.1026252983293756E-2</v>
      </c>
      <c r="F88" s="9">
        <v>5.11E-2</v>
      </c>
      <c r="G88" s="10">
        <v>5.1000000000000004E-3</v>
      </c>
    </row>
    <row r="89" spans="1:7">
      <c r="A89" s="26">
        <v>39022</v>
      </c>
      <c r="B89" s="9">
        <v>-4.3948613928329827E-2</v>
      </c>
      <c r="C89" s="9">
        <v>-5.5531453362256067E-2</v>
      </c>
      <c r="D89" s="9">
        <v>-0.14695254155625148</v>
      </c>
      <c r="E89" s="9">
        <v>-0.11040339702760071</v>
      </c>
      <c r="F89" s="9">
        <v>7.6399999999999996E-2</v>
      </c>
      <c r="G89" s="10">
        <v>5.0000000000000001E-3</v>
      </c>
    </row>
    <row r="90" spans="1:7">
      <c r="A90" s="26">
        <v>38991</v>
      </c>
      <c r="B90" s="9">
        <v>6.7658998646824564E-4</v>
      </c>
      <c r="C90" s="9">
        <v>2.2626441881100412E-2</v>
      </c>
      <c r="D90" s="9">
        <v>0.17736598279285243</v>
      </c>
      <c r="E90" s="9">
        <v>-3.3350436121087679E-2</v>
      </c>
      <c r="F90" s="9">
        <v>-1.7100000000000001E-2</v>
      </c>
      <c r="G90" s="10">
        <v>4.7999999999999996E-3</v>
      </c>
    </row>
    <row r="91" spans="1:7">
      <c r="A91" s="26">
        <v>38961</v>
      </c>
      <c r="B91" s="9">
        <v>-0.12284866468842737</v>
      </c>
      <c r="C91" s="9">
        <v>-0.17193240264511389</v>
      </c>
      <c r="D91" s="9">
        <v>2.4605250411702029E-2</v>
      </c>
      <c r="E91" s="9">
        <v>-4.3670264965652628E-2</v>
      </c>
      <c r="F91" s="9">
        <v>5.1599999999999993E-2</v>
      </c>
      <c r="G91" s="10">
        <v>4.0000000000000001E-3</v>
      </c>
    </row>
    <row r="92" spans="1:7">
      <c r="A92" s="26">
        <v>38930</v>
      </c>
      <c r="B92" s="9">
        <v>2.9761904761904656E-3</v>
      </c>
      <c r="C92" s="9">
        <v>7.0292267850535772E-3</v>
      </c>
      <c r="D92" s="9">
        <v>2.0967263376520773E-2</v>
      </c>
      <c r="E92" s="9">
        <v>0.16059225512528474</v>
      </c>
      <c r="F92" s="9">
        <v>-3.9000000000000007E-2</v>
      </c>
      <c r="G92" s="10">
        <v>5.0000000000000001E-3</v>
      </c>
    </row>
    <row r="93" spans="1:7">
      <c r="A93" s="26">
        <v>38899</v>
      </c>
      <c r="B93" s="9">
        <v>8.4570690768237533E-2</v>
      </c>
      <c r="C93" s="9">
        <v>-4.284702549575059E-2</v>
      </c>
      <c r="D93" s="9">
        <v>-3.6405222529305337E-2</v>
      </c>
      <c r="E93" s="9">
        <v>4.0284360189573487E-2</v>
      </c>
      <c r="F93" s="9">
        <v>5.9499999999999997E-2</v>
      </c>
      <c r="G93" s="10">
        <v>4.5999999999999999E-3</v>
      </c>
    </row>
    <row r="94" spans="1:7">
      <c r="A94" s="26">
        <v>38869</v>
      </c>
      <c r="B94" s="9">
        <v>7.1230982019363731E-2</v>
      </c>
      <c r="C94" s="9">
        <v>5.8867641544806837E-2</v>
      </c>
      <c r="D94" s="9">
        <v>-5.8078994614003565E-2</v>
      </c>
      <c r="E94" s="9">
        <v>-8.8060507833603641E-2</v>
      </c>
      <c r="F94" s="9">
        <v>5.3499999999999992E-2</v>
      </c>
      <c r="G94" s="10">
        <v>4.6999999999999993E-3</v>
      </c>
    </row>
    <row r="95" spans="1:7">
      <c r="A95" s="26">
        <v>38838</v>
      </c>
      <c r="B95" s="9">
        <v>-3.7924151696606678E-2</v>
      </c>
      <c r="C95" s="9">
        <v>0.10986267166042452</v>
      </c>
      <c r="D95" s="9">
        <v>0.15201654601861425</v>
      </c>
      <c r="E95" s="9">
        <v>-1.6181229773462036E-3</v>
      </c>
      <c r="F95" s="9">
        <v>3.1699999999999999E-2</v>
      </c>
      <c r="G95" s="10">
        <v>4.3E-3</v>
      </c>
    </row>
    <row r="96" spans="1:7">
      <c r="A96" s="26">
        <v>38808</v>
      </c>
      <c r="B96" s="9">
        <v>-3.9761431411531323E-3</v>
      </c>
      <c r="C96" s="9">
        <v>-0.11459100957995572</v>
      </c>
      <c r="D96" s="9">
        <v>-8.3672889225812508E-2</v>
      </c>
      <c r="E96" s="9">
        <v>1.8681318681318615E-2</v>
      </c>
      <c r="F96" s="9">
        <v>-3.9799999999999995E-2</v>
      </c>
      <c r="G96" s="10">
        <v>4.0999999999999995E-3</v>
      </c>
    </row>
    <row r="97" spans="1:7">
      <c r="A97" s="26">
        <v>38777</v>
      </c>
      <c r="B97" s="9">
        <v>-7.4233128834355844E-2</v>
      </c>
      <c r="C97" s="9">
        <v>-0.10694307337940112</v>
      </c>
      <c r="D97" s="9">
        <v>4.0627157085100229E-2</v>
      </c>
      <c r="E97" s="9">
        <v>-4.9111807732497459E-2</v>
      </c>
      <c r="F97" s="9">
        <v>8.3900000000000002E-2</v>
      </c>
      <c r="G97" s="10">
        <v>4.4000000000000003E-3</v>
      </c>
    </row>
    <row r="98" spans="1:7">
      <c r="A98" s="26">
        <v>38749</v>
      </c>
      <c r="B98" s="9">
        <v>-1.7480409885473169E-2</v>
      </c>
      <c r="C98" s="9">
        <v>-2.5961538461538369E-2</v>
      </c>
      <c r="D98" s="9">
        <v>4.6650841160078338E-2</v>
      </c>
      <c r="E98" s="9">
        <v>-4.0601503759398416E-2</v>
      </c>
      <c r="F98" s="9">
        <v>3.6900000000000002E-2</v>
      </c>
      <c r="G98" s="10">
        <v>3.5999999999999999E-3</v>
      </c>
    </row>
    <row r="99" spans="1:7">
      <c r="A99" s="26">
        <v>38718</v>
      </c>
      <c r="B99" s="9">
        <v>-6.5868263473053412E-3</v>
      </c>
      <c r="C99" s="9">
        <v>7.1428571428571397E-2</v>
      </c>
      <c r="D99" s="9">
        <v>5.0411968777103189E-2</v>
      </c>
      <c r="E99" s="9">
        <v>-2.5000000000000577E-3</v>
      </c>
      <c r="F99" s="9">
        <v>6.2E-2</v>
      </c>
      <c r="G99" s="10">
        <v>3.9000000000000003E-3</v>
      </c>
    </row>
    <row r="100" spans="1:7">
      <c r="A100" s="26">
        <v>38687</v>
      </c>
      <c r="B100" s="9">
        <v>-0.15784165405950579</v>
      </c>
      <c r="C100" s="9">
        <v>-1.7140898183064524E-3</v>
      </c>
      <c r="D100" s="9">
        <v>-0.18802816901408448</v>
      </c>
      <c r="E100" s="9">
        <v>-2.9910269192422456E-3</v>
      </c>
      <c r="F100" s="9">
        <v>-2.2799999999999997E-2</v>
      </c>
      <c r="G100" s="10">
        <v>3.9000000000000003E-3</v>
      </c>
    </row>
    <row r="101" spans="1:7">
      <c r="A101" s="26">
        <v>38657</v>
      </c>
      <c r="B101" s="9">
        <v>0.12224108658743615</v>
      </c>
      <c r="C101" s="9">
        <v>-8.6439085499530166E-2</v>
      </c>
      <c r="D101" s="9">
        <v>-2.8644719965797427E-2</v>
      </c>
      <c r="E101" s="9">
        <v>-7.9129574678535874E-3</v>
      </c>
      <c r="F101" s="9">
        <v>-9.9999999999999985E-3</v>
      </c>
      <c r="G101" s="10">
        <v>3.9000000000000003E-3</v>
      </c>
    </row>
    <row r="102" spans="1:7">
      <c r="A102" s="26">
        <v>38626</v>
      </c>
      <c r="B102" s="9">
        <v>4.3709391612522186E-2</v>
      </c>
      <c r="C102" s="9">
        <v>-4.5726240286909747E-2</v>
      </c>
      <c r="D102" s="9">
        <v>-7.9735346509457461E-3</v>
      </c>
      <c r="E102" s="9">
        <v>-2.694898941289714E-2</v>
      </c>
      <c r="F102" s="9">
        <v>-3.0599999999999999E-2</v>
      </c>
      <c r="G102" s="10">
        <v>3.8E-3</v>
      </c>
    </row>
    <row r="103" spans="1:7">
      <c r="A103" s="26">
        <v>38596</v>
      </c>
      <c r="B103" s="9">
        <v>-4.1878890775325472E-2</v>
      </c>
      <c r="C103" s="9">
        <v>1.3939393939393918E-2</v>
      </c>
      <c r="D103" s="9">
        <v>-2.7550936236905077E-2</v>
      </c>
      <c r="E103" s="9">
        <v>6.7282999486389494E-2</v>
      </c>
      <c r="F103" s="9">
        <v>5.1000000000000004E-2</v>
      </c>
      <c r="G103" s="10">
        <v>4.0000000000000001E-3</v>
      </c>
    </row>
    <row r="104" spans="1:7">
      <c r="A104" s="26">
        <v>38565</v>
      </c>
      <c r="B104" s="9">
        <v>0.12333121424030513</v>
      </c>
      <c r="C104" s="9">
        <v>-2.048085485307205E-2</v>
      </c>
      <c r="D104" s="9">
        <v>0.11424632352941178</v>
      </c>
      <c r="E104" s="9">
        <v>-9.819360815192224E-2</v>
      </c>
      <c r="F104" s="9">
        <v>-2.07E-2</v>
      </c>
      <c r="G104" s="10">
        <v>3.4000000000000002E-3</v>
      </c>
    </row>
    <row r="105" spans="1:7">
      <c r="A105" s="26">
        <v>38534</v>
      </c>
      <c r="B105" s="9">
        <v>-0.132377275234418</v>
      </c>
      <c r="C105" s="9">
        <v>-6.9337016574585797E-2</v>
      </c>
      <c r="D105" s="9">
        <v>0.11031737932442098</v>
      </c>
      <c r="E105" s="9">
        <v>1.3139371187236071E-2</v>
      </c>
      <c r="F105" s="9">
        <v>4.9000000000000002E-2</v>
      </c>
      <c r="G105" s="10">
        <v>3.7000000000000002E-3</v>
      </c>
    </row>
    <row r="106" spans="1:7">
      <c r="A106" s="26">
        <v>38504</v>
      </c>
      <c r="B106" s="9">
        <v>0.17880364109232749</v>
      </c>
      <c r="C106" s="9">
        <v>0.12457284871078</v>
      </c>
      <c r="D106" s="9">
        <v>0.1801758400578104</v>
      </c>
      <c r="E106" s="9">
        <v>0.32442510876320685</v>
      </c>
      <c r="F106" s="9">
        <v>3.7899999999999996E-2</v>
      </c>
      <c r="G106" s="10">
        <v>4.3E-3</v>
      </c>
    </row>
    <row r="107" spans="1:7">
      <c r="A107" s="26">
        <v>38473</v>
      </c>
      <c r="B107" s="9">
        <v>-3.5131744040150514E-2</v>
      </c>
      <c r="C107" s="9">
        <v>8.3109017496635129E-2</v>
      </c>
      <c r="D107" s="9">
        <v>4.4139839034205375E-2</v>
      </c>
      <c r="E107" s="9">
        <v>8.8633288227334184E-2</v>
      </c>
      <c r="F107" s="9">
        <v>-3.8099999999999995E-2</v>
      </c>
      <c r="G107" s="10">
        <v>3.4999999999999996E-3</v>
      </c>
    </row>
    <row r="108" spans="1:7">
      <c r="A108" s="26">
        <v>38443</v>
      </c>
      <c r="B108" s="9">
        <v>-7.2176949941792801E-2</v>
      </c>
      <c r="C108" s="9">
        <v>0.24040066777963265</v>
      </c>
      <c r="D108" s="9">
        <v>-7.2436719934678706E-2</v>
      </c>
      <c r="E108" s="9">
        <v>-8.3126550868486415E-2</v>
      </c>
      <c r="F108" s="9">
        <v>3.8300000000000001E-2</v>
      </c>
      <c r="G108" s="10">
        <v>3.4999999999999996E-3</v>
      </c>
    </row>
    <row r="109" spans="1:7">
      <c r="A109" s="26">
        <v>38412</v>
      </c>
      <c r="B109" s="9">
        <v>-2.2196926579396759E-2</v>
      </c>
      <c r="C109" s="9">
        <v>-0.1601822642832107</v>
      </c>
      <c r="D109" s="9">
        <v>-6.1442151634593101E-3</v>
      </c>
      <c r="E109" s="9">
        <v>0.14083510261854215</v>
      </c>
      <c r="F109" s="9">
        <v>6.3100000000000003E-2</v>
      </c>
      <c r="G109" s="10">
        <v>3.8E-3</v>
      </c>
    </row>
    <row r="110" spans="1:7">
      <c r="A110" s="26">
        <v>38384</v>
      </c>
      <c r="B110" s="9">
        <v>-2.4972253052164217E-2</v>
      </c>
      <c r="C110" s="9">
        <v>5.0441826215022134E-2</v>
      </c>
      <c r="D110" s="9">
        <v>0.11663430420711984</v>
      </c>
      <c r="E110" s="9">
        <v>-6.1129568106312315E-2</v>
      </c>
      <c r="F110" s="9">
        <v>6.1999999999999993E-2</v>
      </c>
      <c r="G110" s="10">
        <v>3.0999999999999999E-3</v>
      </c>
    </row>
    <row r="111" spans="1:7">
      <c r="A111" s="26">
        <v>38353</v>
      </c>
      <c r="B111" s="9">
        <v>-5.6544502617801085E-2</v>
      </c>
      <c r="C111" s="9">
        <v>5.1490514905149221E-2</v>
      </c>
      <c r="D111" s="9">
        <v>0.11359377252414582</v>
      </c>
      <c r="E111" s="9">
        <v>3.5788024776324923E-2</v>
      </c>
      <c r="F111" s="9">
        <v>7.4399999999999994E-2</v>
      </c>
      <c r="G111" s="10">
        <v>3.2000000000000002E-3</v>
      </c>
    </row>
    <row r="112" spans="1:7">
      <c r="A112" s="26">
        <v>38322</v>
      </c>
      <c r="B112" s="9">
        <v>6.8830442081701193E-2</v>
      </c>
      <c r="C112" s="9">
        <v>0.13888888888888884</v>
      </c>
      <c r="D112" s="9">
        <v>0.1555888722305514</v>
      </c>
      <c r="E112" s="9">
        <v>0.11255742725880546</v>
      </c>
      <c r="F112" s="9">
        <v>6.3799999999999996E-2</v>
      </c>
      <c r="G112" s="10">
        <v>4.5999999999999999E-3</v>
      </c>
    </row>
    <row r="113" spans="1:7">
      <c r="A113" s="26">
        <v>38292</v>
      </c>
      <c r="B113" s="9">
        <v>0.53919035314384178</v>
      </c>
      <c r="C113" s="9">
        <v>0.27702702702702697</v>
      </c>
      <c r="D113" s="9">
        <v>0.14103782550845856</v>
      </c>
      <c r="E113" s="9">
        <v>0.17551755175517569</v>
      </c>
      <c r="F113" s="9">
        <v>-5.7700000000000001E-2</v>
      </c>
      <c r="G113" s="10">
        <v>4.3E-3</v>
      </c>
    </row>
    <row r="114" spans="1:7">
      <c r="A114" s="26">
        <v>38261</v>
      </c>
      <c r="B114" s="9">
        <v>-0.20642515379357496</v>
      </c>
      <c r="C114" s="9">
        <v>-4.4133476856835108E-2</v>
      </c>
      <c r="D114" s="9">
        <v>-0.14856772940605278</v>
      </c>
      <c r="E114" s="9">
        <v>-0.23590096286107287</v>
      </c>
      <c r="F114" s="9">
        <v>-2.3300000000000001E-2</v>
      </c>
      <c r="G114" s="10">
        <v>4.0000000000000001E-3</v>
      </c>
    </row>
    <row r="115" spans="1:7">
      <c r="A115" s="26">
        <v>38231</v>
      </c>
      <c r="B115" s="9">
        <v>-0.14941860465116275</v>
      </c>
      <c r="C115" s="9">
        <v>-0.15043438500228634</v>
      </c>
      <c r="D115" s="9">
        <v>0.15409039970115801</v>
      </c>
      <c r="E115" s="9">
        <v>-2.7424749163879603E-2</v>
      </c>
      <c r="F115" s="9">
        <v>3.2000000000000001E-2</v>
      </c>
      <c r="G115" s="10">
        <v>4.0999999999999995E-3</v>
      </c>
    </row>
    <row r="116" spans="1:7">
      <c r="A116" s="26">
        <v>38200</v>
      </c>
      <c r="B116" s="9">
        <v>0</v>
      </c>
      <c r="C116" s="9">
        <v>2.5316455696202667E-2</v>
      </c>
      <c r="D116" s="9">
        <v>-2.2814382186530424E-2</v>
      </c>
      <c r="E116" s="9">
        <v>-3.3613445378151363E-2</v>
      </c>
      <c r="F116" s="9">
        <v>-2.58E-2</v>
      </c>
      <c r="G116" s="10">
        <v>4.0000000000000001E-3</v>
      </c>
    </row>
    <row r="117" spans="1:7">
      <c r="A117" s="26">
        <v>38169</v>
      </c>
      <c r="B117" s="9">
        <v>-0.13393756294058412</v>
      </c>
      <c r="C117" s="9">
        <v>-6.0577819198509575E-3</v>
      </c>
      <c r="D117" s="9">
        <v>1.5946597441127475E-2</v>
      </c>
      <c r="E117" s="9">
        <v>-0.10214741729541499</v>
      </c>
      <c r="F117" s="9">
        <v>1.09E-2</v>
      </c>
      <c r="G117" s="10">
        <v>4.3E-3</v>
      </c>
    </row>
    <row r="118" spans="1:7">
      <c r="A118" s="26">
        <v>38139</v>
      </c>
      <c r="B118" s="9">
        <v>3.7617554858934144E-2</v>
      </c>
      <c r="C118" s="9">
        <v>6.5666041275798115E-3</v>
      </c>
      <c r="D118" s="9">
        <v>0.11540847983453983</v>
      </c>
      <c r="E118" s="9">
        <v>2.6206075044669541E-2</v>
      </c>
      <c r="F118" s="9">
        <v>5.1300000000000005E-2</v>
      </c>
      <c r="G118" s="10">
        <v>3.9000000000000003E-3</v>
      </c>
    </row>
    <row r="119" spans="1:7">
      <c r="A119" s="26">
        <v>38108</v>
      </c>
      <c r="B119" s="9">
        <v>0.11995318899941498</v>
      </c>
      <c r="C119" s="9">
        <v>0.19977490151941479</v>
      </c>
      <c r="D119" s="9">
        <v>-5.3486936844270305E-3</v>
      </c>
      <c r="E119" s="9">
        <v>7.4903969270166515E-2</v>
      </c>
      <c r="F119" s="9">
        <v>7.3200000000000001E-2</v>
      </c>
      <c r="G119" s="10">
        <v>3.9000000000000003E-3</v>
      </c>
    </row>
    <row r="120" spans="1:7">
      <c r="A120" s="26">
        <v>38078</v>
      </c>
      <c r="B120" s="9">
        <v>-3.4985422740524408E-3</v>
      </c>
      <c r="C120" s="9">
        <v>0.13764404609475034</v>
      </c>
      <c r="D120" s="9">
        <v>5.9734030957052653E-2</v>
      </c>
      <c r="E120" s="9">
        <v>4.621567314132613E-2</v>
      </c>
      <c r="F120" s="9">
        <v>4.4999999999999997E-3</v>
      </c>
      <c r="G120" s="10">
        <v>4.3E-3</v>
      </c>
    </row>
    <row r="121" spans="1:7">
      <c r="A121" s="26">
        <v>38047</v>
      </c>
      <c r="B121" s="9">
        <v>4.0024257125530704E-2</v>
      </c>
      <c r="C121" s="9">
        <v>-3.2817337461300222E-2</v>
      </c>
      <c r="D121" s="9">
        <v>-5.6172839506172911E-2</v>
      </c>
      <c r="E121" s="9">
        <v>-0.10971973762671439</v>
      </c>
      <c r="F121" s="9">
        <v>1.78E-2</v>
      </c>
      <c r="G121" s="10">
        <v>4.7999999999999996E-3</v>
      </c>
    </row>
    <row r="122" spans="1:7">
      <c r="A122" s="26">
        <v>38018</v>
      </c>
      <c r="B122" s="9">
        <v>0.12482946793997263</v>
      </c>
      <c r="C122" s="9">
        <v>-0.11506849315068501</v>
      </c>
      <c r="D122" s="9">
        <v>-4.4623550226066344E-2</v>
      </c>
      <c r="E122" s="9">
        <v>1.6979987871437396E-2</v>
      </c>
      <c r="F122" s="9">
        <v>3.0500000000000003E-2</v>
      </c>
      <c r="G122" s="10">
        <v>3.9000000000000003E-3</v>
      </c>
    </row>
    <row r="123" spans="1:7">
      <c r="A123" s="26">
        <v>37987</v>
      </c>
      <c r="B123" s="9">
        <v>-0.1869107043815863</v>
      </c>
      <c r="C123" s="9">
        <v>1.9553072625698498E-2</v>
      </c>
      <c r="D123" s="9">
        <v>0.11386030216772491</v>
      </c>
      <c r="E123" s="9">
        <v>5.7729313662604254E-2</v>
      </c>
      <c r="F123" s="9">
        <v>-3.4499999999999996E-2</v>
      </c>
      <c r="G123" s="10">
        <v>4.1999999999999997E-3</v>
      </c>
    </row>
    <row r="124" spans="1:7">
      <c r="A124" s="26">
        <v>37956</v>
      </c>
      <c r="B124" s="9">
        <v>-0.16720554272517307</v>
      </c>
      <c r="C124" s="9">
        <v>5.7294743059657316E-2</v>
      </c>
      <c r="D124" s="9">
        <v>-7.0614570614570549E-2</v>
      </c>
      <c r="E124" s="9">
        <v>-0.13099219620958757</v>
      </c>
      <c r="F124" s="9">
        <v>5.8400000000000007E-2</v>
      </c>
      <c r="G124" s="10">
        <v>4.4000000000000003E-3</v>
      </c>
    </row>
    <row r="125" spans="1:7">
      <c r="A125" s="26">
        <v>37926</v>
      </c>
      <c r="B125" s="9">
        <v>8.5213032581453518E-2</v>
      </c>
      <c r="C125" s="9">
        <v>2.1726010863005296E-2</v>
      </c>
      <c r="D125" s="9">
        <v>4.5531914893617076E-2</v>
      </c>
      <c r="E125" s="9">
        <v>0.13043478260869579</v>
      </c>
      <c r="F125" s="9">
        <v>-3.6299999999999999E-2</v>
      </c>
      <c r="G125" s="10">
        <v>4.0999999999999995E-3</v>
      </c>
    </row>
    <row r="126" spans="1:7">
      <c r="A126" s="26">
        <v>37895</v>
      </c>
      <c r="B126" s="9">
        <v>-2.9985007496252658E-3</v>
      </c>
      <c r="C126" s="9">
        <v>-5.1516886090440694E-2</v>
      </c>
      <c r="D126" s="9">
        <v>-3.9640375970576125E-2</v>
      </c>
      <c r="E126" s="9">
        <v>1.4705882352941124E-2</v>
      </c>
      <c r="F126" s="9">
        <v>7.6499999999999999E-2</v>
      </c>
      <c r="G126" s="10">
        <v>4.3E-3</v>
      </c>
    </row>
    <row r="127" spans="1:7">
      <c r="A127" s="26">
        <v>37865</v>
      </c>
      <c r="B127" s="9">
        <v>4.3274244004171125E-2</v>
      </c>
      <c r="C127" s="9">
        <v>1.2166859791425066E-2</v>
      </c>
      <c r="D127" s="9">
        <v>0.1719348659003832</v>
      </c>
      <c r="E127" s="9">
        <v>5.1075268817204256E-2</v>
      </c>
      <c r="F127" s="9">
        <v>4.41E-2</v>
      </c>
      <c r="G127" s="10">
        <v>3.7000000000000002E-3</v>
      </c>
    </row>
    <row r="128" spans="1:7">
      <c r="A128" s="26">
        <v>37834</v>
      </c>
      <c r="B128" s="9">
        <v>-0.13369467028003612</v>
      </c>
      <c r="C128" s="9">
        <v>-2.4307518371961545E-2</v>
      </c>
      <c r="D128" s="9">
        <v>4.3217586809892516E-2</v>
      </c>
      <c r="E128" s="9">
        <v>2.9045643153526868E-2</v>
      </c>
      <c r="F128" s="9">
        <v>7.1599999999999997E-2</v>
      </c>
      <c r="G128" s="10">
        <v>4.8999999999999998E-3</v>
      </c>
    </row>
    <row r="129" spans="1:7" ht="13" thickBot="1">
      <c r="A129" s="27">
        <v>37803</v>
      </c>
      <c r="B129" s="28">
        <v>0.13538461538461544</v>
      </c>
      <c r="C129" s="28">
        <v>5.675029868578263E-2</v>
      </c>
      <c r="D129" s="28">
        <v>7.7813677975228979E-2</v>
      </c>
      <c r="E129" s="28">
        <v>8.9675960813865974E-2</v>
      </c>
      <c r="F129" s="28">
        <v>4.2299999999999997E-2</v>
      </c>
      <c r="G129" s="11">
        <v>4.3E-3</v>
      </c>
    </row>
  </sheetData>
  <phoneticPr fontId="0" type="noConversion"/>
  <pageMargins left="0.75" right="0.75" top="1" bottom="1" header="0.5" footer="0.5"/>
  <pageSetup paperSize="9" orientation="portrait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zoomScale="90" zoomScaleNormal="90" zoomScalePageLayoutView="90" workbookViewId="0">
      <selection activeCell="K62" sqref="K62"/>
    </sheetView>
  </sheetViews>
  <sheetFormatPr baseColWidth="10" defaultColWidth="8.83203125" defaultRowHeight="13" x14ac:dyDescent="0"/>
  <cols>
    <col min="1" max="1" width="52.33203125" style="32" customWidth="1"/>
    <col min="2" max="2" width="15.5" style="32" customWidth="1"/>
    <col min="3" max="3" width="19.83203125" style="32" bestFit="1" customWidth="1"/>
    <col min="4" max="4" width="13" style="32" customWidth="1"/>
    <col min="5" max="5" width="13.1640625" style="32" customWidth="1"/>
    <col min="6" max="6" width="12.83203125" style="32" customWidth="1"/>
    <col min="7" max="7" width="13.5" style="32" customWidth="1"/>
    <col min="8" max="256" width="8.83203125" style="32"/>
    <col min="257" max="257" width="43.1640625" style="32" customWidth="1"/>
    <col min="258" max="258" width="15.5" style="32" customWidth="1"/>
    <col min="259" max="259" width="19.83203125" style="32" bestFit="1" customWidth="1"/>
    <col min="260" max="262" width="11.33203125" style="32" bestFit="1" customWidth="1"/>
    <col min="263" max="263" width="11.83203125" style="32" bestFit="1" customWidth="1"/>
    <col min="264" max="512" width="8.83203125" style="32"/>
    <col min="513" max="513" width="43.1640625" style="32" customWidth="1"/>
    <col min="514" max="514" width="15.5" style="32" customWidth="1"/>
    <col min="515" max="515" width="19.83203125" style="32" bestFit="1" customWidth="1"/>
    <col min="516" max="518" width="11.33203125" style="32" bestFit="1" customWidth="1"/>
    <col min="519" max="519" width="11.83203125" style="32" bestFit="1" customWidth="1"/>
    <col min="520" max="768" width="8.83203125" style="32"/>
    <col min="769" max="769" width="43.1640625" style="32" customWidth="1"/>
    <col min="770" max="770" width="15.5" style="32" customWidth="1"/>
    <col min="771" max="771" width="19.83203125" style="32" bestFit="1" customWidth="1"/>
    <col min="772" max="774" width="11.33203125" style="32" bestFit="1" customWidth="1"/>
    <col min="775" max="775" width="11.83203125" style="32" bestFit="1" customWidth="1"/>
    <col min="776" max="1024" width="8.83203125" style="32"/>
    <col min="1025" max="1025" width="43.1640625" style="32" customWidth="1"/>
    <col min="1026" max="1026" width="15.5" style="32" customWidth="1"/>
    <col min="1027" max="1027" width="19.83203125" style="32" bestFit="1" customWidth="1"/>
    <col min="1028" max="1030" width="11.33203125" style="32" bestFit="1" customWidth="1"/>
    <col min="1031" max="1031" width="11.83203125" style="32" bestFit="1" customWidth="1"/>
    <col min="1032" max="1280" width="8.83203125" style="32"/>
    <col min="1281" max="1281" width="43.1640625" style="32" customWidth="1"/>
    <col min="1282" max="1282" width="15.5" style="32" customWidth="1"/>
    <col min="1283" max="1283" width="19.83203125" style="32" bestFit="1" customWidth="1"/>
    <col min="1284" max="1286" width="11.33203125" style="32" bestFit="1" customWidth="1"/>
    <col min="1287" max="1287" width="11.83203125" style="32" bestFit="1" customWidth="1"/>
    <col min="1288" max="1536" width="8.83203125" style="32"/>
    <col min="1537" max="1537" width="43.1640625" style="32" customWidth="1"/>
    <col min="1538" max="1538" width="15.5" style="32" customWidth="1"/>
    <col min="1539" max="1539" width="19.83203125" style="32" bestFit="1" customWidth="1"/>
    <col min="1540" max="1542" width="11.33203125" style="32" bestFit="1" customWidth="1"/>
    <col min="1543" max="1543" width="11.83203125" style="32" bestFit="1" customWidth="1"/>
    <col min="1544" max="1792" width="8.83203125" style="32"/>
    <col min="1793" max="1793" width="43.1640625" style="32" customWidth="1"/>
    <col min="1794" max="1794" width="15.5" style="32" customWidth="1"/>
    <col min="1795" max="1795" width="19.83203125" style="32" bestFit="1" customWidth="1"/>
    <col min="1796" max="1798" width="11.33203125" style="32" bestFit="1" customWidth="1"/>
    <col min="1799" max="1799" width="11.83203125" style="32" bestFit="1" customWidth="1"/>
    <col min="1800" max="2048" width="8.83203125" style="32"/>
    <col min="2049" max="2049" width="43.1640625" style="32" customWidth="1"/>
    <col min="2050" max="2050" width="15.5" style="32" customWidth="1"/>
    <col min="2051" max="2051" width="19.83203125" style="32" bestFit="1" customWidth="1"/>
    <col min="2052" max="2054" width="11.33203125" style="32" bestFit="1" customWidth="1"/>
    <col min="2055" max="2055" width="11.83203125" style="32" bestFit="1" customWidth="1"/>
    <col min="2056" max="2304" width="8.83203125" style="32"/>
    <col min="2305" max="2305" width="43.1640625" style="32" customWidth="1"/>
    <col min="2306" max="2306" width="15.5" style="32" customWidth="1"/>
    <col min="2307" max="2307" width="19.83203125" style="32" bestFit="1" customWidth="1"/>
    <col min="2308" max="2310" width="11.33203125" style="32" bestFit="1" customWidth="1"/>
    <col min="2311" max="2311" width="11.83203125" style="32" bestFit="1" customWidth="1"/>
    <col min="2312" max="2560" width="8.83203125" style="32"/>
    <col min="2561" max="2561" width="43.1640625" style="32" customWidth="1"/>
    <col min="2562" max="2562" width="15.5" style="32" customWidth="1"/>
    <col min="2563" max="2563" width="19.83203125" style="32" bestFit="1" customWidth="1"/>
    <col min="2564" max="2566" width="11.33203125" style="32" bestFit="1" customWidth="1"/>
    <col min="2567" max="2567" width="11.83203125" style="32" bestFit="1" customWidth="1"/>
    <col min="2568" max="2816" width="8.83203125" style="32"/>
    <col min="2817" max="2817" width="43.1640625" style="32" customWidth="1"/>
    <col min="2818" max="2818" width="15.5" style="32" customWidth="1"/>
    <col min="2819" max="2819" width="19.83203125" style="32" bestFit="1" customWidth="1"/>
    <col min="2820" max="2822" width="11.33203125" style="32" bestFit="1" customWidth="1"/>
    <col min="2823" max="2823" width="11.83203125" style="32" bestFit="1" customWidth="1"/>
    <col min="2824" max="3072" width="8.83203125" style="32"/>
    <col min="3073" max="3073" width="43.1640625" style="32" customWidth="1"/>
    <col min="3074" max="3074" width="15.5" style="32" customWidth="1"/>
    <col min="3075" max="3075" width="19.83203125" style="32" bestFit="1" customWidth="1"/>
    <col min="3076" max="3078" width="11.33203125" style="32" bestFit="1" customWidth="1"/>
    <col min="3079" max="3079" width="11.83203125" style="32" bestFit="1" customWidth="1"/>
    <col min="3080" max="3328" width="8.83203125" style="32"/>
    <col min="3329" max="3329" width="43.1640625" style="32" customWidth="1"/>
    <col min="3330" max="3330" width="15.5" style="32" customWidth="1"/>
    <col min="3331" max="3331" width="19.83203125" style="32" bestFit="1" customWidth="1"/>
    <col min="3332" max="3334" width="11.33203125" style="32" bestFit="1" customWidth="1"/>
    <col min="3335" max="3335" width="11.83203125" style="32" bestFit="1" customWidth="1"/>
    <col min="3336" max="3584" width="8.83203125" style="32"/>
    <col min="3585" max="3585" width="43.1640625" style="32" customWidth="1"/>
    <col min="3586" max="3586" width="15.5" style="32" customWidth="1"/>
    <col min="3587" max="3587" width="19.83203125" style="32" bestFit="1" customWidth="1"/>
    <col min="3588" max="3590" width="11.33203125" style="32" bestFit="1" customWidth="1"/>
    <col min="3591" max="3591" width="11.83203125" style="32" bestFit="1" customWidth="1"/>
    <col min="3592" max="3840" width="8.83203125" style="32"/>
    <col min="3841" max="3841" width="43.1640625" style="32" customWidth="1"/>
    <col min="3842" max="3842" width="15.5" style="32" customWidth="1"/>
    <col min="3843" max="3843" width="19.83203125" style="32" bestFit="1" customWidth="1"/>
    <col min="3844" max="3846" width="11.33203125" style="32" bestFit="1" customWidth="1"/>
    <col min="3847" max="3847" width="11.83203125" style="32" bestFit="1" customWidth="1"/>
    <col min="3848" max="4096" width="8.83203125" style="32"/>
    <col min="4097" max="4097" width="43.1640625" style="32" customWidth="1"/>
    <col min="4098" max="4098" width="15.5" style="32" customWidth="1"/>
    <col min="4099" max="4099" width="19.83203125" style="32" bestFit="1" customWidth="1"/>
    <col min="4100" max="4102" width="11.33203125" style="32" bestFit="1" customWidth="1"/>
    <col min="4103" max="4103" width="11.83203125" style="32" bestFit="1" customWidth="1"/>
    <col min="4104" max="4352" width="8.83203125" style="32"/>
    <col min="4353" max="4353" width="43.1640625" style="32" customWidth="1"/>
    <col min="4354" max="4354" width="15.5" style="32" customWidth="1"/>
    <col min="4355" max="4355" width="19.83203125" style="32" bestFit="1" customWidth="1"/>
    <col min="4356" max="4358" width="11.33203125" style="32" bestFit="1" customWidth="1"/>
    <col min="4359" max="4359" width="11.83203125" style="32" bestFit="1" customWidth="1"/>
    <col min="4360" max="4608" width="8.83203125" style="32"/>
    <col min="4609" max="4609" width="43.1640625" style="32" customWidth="1"/>
    <col min="4610" max="4610" width="15.5" style="32" customWidth="1"/>
    <col min="4611" max="4611" width="19.83203125" style="32" bestFit="1" customWidth="1"/>
    <col min="4612" max="4614" width="11.33203125" style="32" bestFit="1" customWidth="1"/>
    <col min="4615" max="4615" width="11.83203125" style="32" bestFit="1" customWidth="1"/>
    <col min="4616" max="4864" width="8.83203125" style="32"/>
    <col min="4865" max="4865" width="43.1640625" style="32" customWidth="1"/>
    <col min="4866" max="4866" width="15.5" style="32" customWidth="1"/>
    <col min="4867" max="4867" width="19.83203125" style="32" bestFit="1" customWidth="1"/>
    <col min="4868" max="4870" width="11.33203125" style="32" bestFit="1" customWidth="1"/>
    <col min="4871" max="4871" width="11.83203125" style="32" bestFit="1" customWidth="1"/>
    <col min="4872" max="5120" width="8.83203125" style="32"/>
    <col min="5121" max="5121" width="43.1640625" style="32" customWidth="1"/>
    <col min="5122" max="5122" width="15.5" style="32" customWidth="1"/>
    <col min="5123" max="5123" width="19.83203125" style="32" bestFit="1" customWidth="1"/>
    <col min="5124" max="5126" width="11.33203125" style="32" bestFit="1" customWidth="1"/>
    <col min="5127" max="5127" width="11.83203125" style="32" bestFit="1" customWidth="1"/>
    <col min="5128" max="5376" width="8.83203125" style="32"/>
    <col min="5377" max="5377" width="43.1640625" style="32" customWidth="1"/>
    <col min="5378" max="5378" width="15.5" style="32" customWidth="1"/>
    <col min="5379" max="5379" width="19.83203125" style="32" bestFit="1" customWidth="1"/>
    <col min="5380" max="5382" width="11.33203125" style="32" bestFit="1" customWidth="1"/>
    <col min="5383" max="5383" width="11.83203125" style="32" bestFit="1" customWidth="1"/>
    <col min="5384" max="5632" width="8.83203125" style="32"/>
    <col min="5633" max="5633" width="43.1640625" style="32" customWidth="1"/>
    <col min="5634" max="5634" width="15.5" style="32" customWidth="1"/>
    <col min="5635" max="5635" width="19.83203125" style="32" bestFit="1" customWidth="1"/>
    <col min="5636" max="5638" width="11.33203125" style="32" bestFit="1" customWidth="1"/>
    <col min="5639" max="5639" width="11.83203125" style="32" bestFit="1" customWidth="1"/>
    <col min="5640" max="5888" width="8.83203125" style="32"/>
    <col min="5889" max="5889" width="43.1640625" style="32" customWidth="1"/>
    <col min="5890" max="5890" width="15.5" style="32" customWidth="1"/>
    <col min="5891" max="5891" width="19.83203125" style="32" bestFit="1" customWidth="1"/>
    <col min="5892" max="5894" width="11.33203125" style="32" bestFit="1" customWidth="1"/>
    <col min="5895" max="5895" width="11.83203125" style="32" bestFit="1" customWidth="1"/>
    <col min="5896" max="6144" width="8.83203125" style="32"/>
    <col min="6145" max="6145" width="43.1640625" style="32" customWidth="1"/>
    <col min="6146" max="6146" width="15.5" style="32" customWidth="1"/>
    <col min="6147" max="6147" width="19.83203125" style="32" bestFit="1" customWidth="1"/>
    <col min="6148" max="6150" width="11.33203125" style="32" bestFit="1" customWidth="1"/>
    <col min="6151" max="6151" width="11.83203125" style="32" bestFit="1" customWidth="1"/>
    <col min="6152" max="6400" width="8.83203125" style="32"/>
    <col min="6401" max="6401" width="43.1640625" style="32" customWidth="1"/>
    <col min="6402" max="6402" width="15.5" style="32" customWidth="1"/>
    <col min="6403" max="6403" width="19.83203125" style="32" bestFit="1" customWidth="1"/>
    <col min="6404" max="6406" width="11.33203125" style="32" bestFit="1" customWidth="1"/>
    <col min="6407" max="6407" width="11.83203125" style="32" bestFit="1" customWidth="1"/>
    <col min="6408" max="6656" width="8.83203125" style="32"/>
    <col min="6657" max="6657" width="43.1640625" style="32" customWidth="1"/>
    <col min="6658" max="6658" width="15.5" style="32" customWidth="1"/>
    <col min="6659" max="6659" width="19.83203125" style="32" bestFit="1" customWidth="1"/>
    <col min="6660" max="6662" width="11.33203125" style="32" bestFit="1" customWidth="1"/>
    <col min="6663" max="6663" width="11.83203125" style="32" bestFit="1" customWidth="1"/>
    <col min="6664" max="6912" width="8.83203125" style="32"/>
    <col min="6913" max="6913" width="43.1640625" style="32" customWidth="1"/>
    <col min="6914" max="6914" width="15.5" style="32" customWidth="1"/>
    <col min="6915" max="6915" width="19.83203125" style="32" bestFit="1" customWidth="1"/>
    <col min="6916" max="6918" width="11.33203125" style="32" bestFit="1" customWidth="1"/>
    <col min="6919" max="6919" width="11.83203125" style="32" bestFit="1" customWidth="1"/>
    <col min="6920" max="7168" width="8.83203125" style="32"/>
    <col min="7169" max="7169" width="43.1640625" style="32" customWidth="1"/>
    <col min="7170" max="7170" width="15.5" style="32" customWidth="1"/>
    <col min="7171" max="7171" width="19.83203125" style="32" bestFit="1" customWidth="1"/>
    <col min="7172" max="7174" width="11.33203125" style="32" bestFit="1" customWidth="1"/>
    <col min="7175" max="7175" width="11.83203125" style="32" bestFit="1" customWidth="1"/>
    <col min="7176" max="7424" width="8.83203125" style="32"/>
    <col min="7425" max="7425" width="43.1640625" style="32" customWidth="1"/>
    <col min="7426" max="7426" width="15.5" style="32" customWidth="1"/>
    <col min="7427" max="7427" width="19.83203125" style="32" bestFit="1" customWidth="1"/>
    <col min="7428" max="7430" width="11.33203125" style="32" bestFit="1" customWidth="1"/>
    <col min="7431" max="7431" width="11.83203125" style="32" bestFit="1" customWidth="1"/>
    <col min="7432" max="7680" width="8.83203125" style="32"/>
    <col min="7681" max="7681" width="43.1640625" style="32" customWidth="1"/>
    <col min="7682" max="7682" width="15.5" style="32" customWidth="1"/>
    <col min="7683" max="7683" width="19.83203125" style="32" bestFit="1" customWidth="1"/>
    <col min="7684" max="7686" width="11.33203125" style="32" bestFit="1" customWidth="1"/>
    <col min="7687" max="7687" width="11.83203125" style="32" bestFit="1" customWidth="1"/>
    <col min="7688" max="7936" width="8.83203125" style="32"/>
    <col min="7937" max="7937" width="43.1640625" style="32" customWidth="1"/>
    <col min="7938" max="7938" width="15.5" style="32" customWidth="1"/>
    <col min="7939" max="7939" width="19.83203125" style="32" bestFit="1" customWidth="1"/>
    <col min="7940" max="7942" width="11.33203125" style="32" bestFit="1" customWidth="1"/>
    <col min="7943" max="7943" width="11.83203125" style="32" bestFit="1" customWidth="1"/>
    <col min="7944" max="8192" width="8.83203125" style="32"/>
    <col min="8193" max="8193" width="43.1640625" style="32" customWidth="1"/>
    <col min="8194" max="8194" width="15.5" style="32" customWidth="1"/>
    <col min="8195" max="8195" width="19.83203125" style="32" bestFit="1" customWidth="1"/>
    <col min="8196" max="8198" width="11.33203125" style="32" bestFit="1" customWidth="1"/>
    <col min="8199" max="8199" width="11.83203125" style="32" bestFit="1" customWidth="1"/>
    <col min="8200" max="8448" width="8.83203125" style="32"/>
    <col min="8449" max="8449" width="43.1640625" style="32" customWidth="1"/>
    <col min="8450" max="8450" width="15.5" style="32" customWidth="1"/>
    <col min="8451" max="8451" width="19.83203125" style="32" bestFit="1" customWidth="1"/>
    <col min="8452" max="8454" width="11.33203125" style="32" bestFit="1" customWidth="1"/>
    <col min="8455" max="8455" width="11.83203125" style="32" bestFit="1" customWidth="1"/>
    <col min="8456" max="8704" width="8.83203125" style="32"/>
    <col min="8705" max="8705" width="43.1640625" style="32" customWidth="1"/>
    <col min="8706" max="8706" width="15.5" style="32" customWidth="1"/>
    <col min="8707" max="8707" width="19.83203125" style="32" bestFit="1" customWidth="1"/>
    <col min="8708" max="8710" width="11.33203125" style="32" bestFit="1" customWidth="1"/>
    <col min="8711" max="8711" width="11.83203125" style="32" bestFit="1" customWidth="1"/>
    <col min="8712" max="8960" width="8.83203125" style="32"/>
    <col min="8961" max="8961" width="43.1640625" style="32" customWidth="1"/>
    <col min="8962" max="8962" width="15.5" style="32" customWidth="1"/>
    <col min="8963" max="8963" width="19.83203125" style="32" bestFit="1" customWidth="1"/>
    <col min="8964" max="8966" width="11.33203125" style="32" bestFit="1" customWidth="1"/>
    <col min="8967" max="8967" width="11.83203125" style="32" bestFit="1" customWidth="1"/>
    <col min="8968" max="9216" width="8.83203125" style="32"/>
    <col min="9217" max="9217" width="43.1640625" style="32" customWidth="1"/>
    <col min="9218" max="9218" width="15.5" style="32" customWidth="1"/>
    <col min="9219" max="9219" width="19.83203125" style="32" bestFit="1" customWidth="1"/>
    <col min="9220" max="9222" width="11.33203125" style="32" bestFit="1" customWidth="1"/>
    <col min="9223" max="9223" width="11.83203125" style="32" bestFit="1" customWidth="1"/>
    <col min="9224" max="9472" width="8.83203125" style="32"/>
    <col min="9473" max="9473" width="43.1640625" style="32" customWidth="1"/>
    <col min="9474" max="9474" width="15.5" style="32" customWidth="1"/>
    <col min="9475" max="9475" width="19.83203125" style="32" bestFit="1" customWidth="1"/>
    <col min="9476" max="9478" width="11.33203125" style="32" bestFit="1" customWidth="1"/>
    <col min="9479" max="9479" width="11.83203125" style="32" bestFit="1" customWidth="1"/>
    <col min="9480" max="9728" width="8.83203125" style="32"/>
    <col min="9729" max="9729" width="43.1640625" style="32" customWidth="1"/>
    <col min="9730" max="9730" width="15.5" style="32" customWidth="1"/>
    <col min="9731" max="9731" width="19.83203125" style="32" bestFit="1" customWidth="1"/>
    <col min="9732" max="9734" width="11.33203125" style="32" bestFit="1" customWidth="1"/>
    <col min="9735" max="9735" width="11.83203125" style="32" bestFit="1" customWidth="1"/>
    <col min="9736" max="9984" width="8.83203125" style="32"/>
    <col min="9985" max="9985" width="43.1640625" style="32" customWidth="1"/>
    <col min="9986" max="9986" width="15.5" style="32" customWidth="1"/>
    <col min="9987" max="9987" width="19.83203125" style="32" bestFit="1" customWidth="1"/>
    <col min="9988" max="9990" width="11.33203125" style="32" bestFit="1" customWidth="1"/>
    <col min="9991" max="9991" width="11.83203125" style="32" bestFit="1" customWidth="1"/>
    <col min="9992" max="10240" width="8.83203125" style="32"/>
    <col min="10241" max="10241" width="43.1640625" style="32" customWidth="1"/>
    <col min="10242" max="10242" width="15.5" style="32" customWidth="1"/>
    <col min="10243" max="10243" width="19.83203125" style="32" bestFit="1" customWidth="1"/>
    <col min="10244" max="10246" width="11.33203125" style="32" bestFit="1" customWidth="1"/>
    <col min="10247" max="10247" width="11.83203125" style="32" bestFit="1" customWidth="1"/>
    <col min="10248" max="10496" width="8.83203125" style="32"/>
    <col min="10497" max="10497" width="43.1640625" style="32" customWidth="1"/>
    <col min="10498" max="10498" width="15.5" style="32" customWidth="1"/>
    <col min="10499" max="10499" width="19.83203125" style="32" bestFit="1" customWidth="1"/>
    <col min="10500" max="10502" width="11.33203125" style="32" bestFit="1" customWidth="1"/>
    <col min="10503" max="10503" width="11.83203125" style="32" bestFit="1" customWidth="1"/>
    <col min="10504" max="10752" width="8.83203125" style="32"/>
    <col min="10753" max="10753" width="43.1640625" style="32" customWidth="1"/>
    <col min="10754" max="10754" width="15.5" style="32" customWidth="1"/>
    <col min="10755" max="10755" width="19.83203125" style="32" bestFit="1" customWidth="1"/>
    <col min="10756" max="10758" width="11.33203125" style="32" bestFit="1" customWidth="1"/>
    <col min="10759" max="10759" width="11.83203125" style="32" bestFit="1" customWidth="1"/>
    <col min="10760" max="11008" width="8.83203125" style="32"/>
    <col min="11009" max="11009" width="43.1640625" style="32" customWidth="1"/>
    <col min="11010" max="11010" width="15.5" style="32" customWidth="1"/>
    <col min="11011" max="11011" width="19.83203125" style="32" bestFit="1" customWidth="1"/>
    <col min="11012" max="11014" width="11.33203125" style="32" bestFit="1" customWidth="1"/>
    <col min="11015" max="11015" width="11.83203125" style="32" bestFit="1" customWidth="1"/>
    <col min="11016" max="11264" width="8.83203125" style="32"/>
    <col min="11265" max="11265" width="43.1640625" style="32" customWidth="1"/>
    <col min="11266" max="11266" width="15.5" style="32" customWidth="1"/>
    <col min="11267" max="11267" width="19.83203125" style="32" bestFit="1" customWidth="1"/>
    <col min="11268" max="11270" width="11.33203125" style="32" bestFit="1" customWidth="1"/>
    <col min="11271" max="11271" width="11.83203125" style="32" bestFit="1" customWidth="1"/>
    <col min="11272" max="11520" width="8.83203125" style="32"/>
    <col min="11521" max="11521" width="43.1640625" style="32" customWidth="1"/>
    <col min="11522" max="11522" width="15.5" style="32" customWidth="1"/>
    <col min="11523" max="11523" width="19.83203125" style="32" bestFit="1" customWidth="1"/>
    <col min="11524" max="11526" width="11.33203125" style="32" bestFit="1" customWidth="1"/>
    <col min="11527" max="11527" width="11.83203125" style="32" bestFit="1" customWidth="1"/>
    <col min="11528" max="11776" width="8.83203125" style="32"/>
    <col min="11777" max="11777" width="43.1640625" style="32" customWidth="1"/>
    <col min="11778" max="11778" width="15.5" style="32" customWidth="1"/>
    <col min="11779" max="11779" width="19.83203125" style="32" bestFit="1" customWidth="1"/>
    <col min="11780" max="11782" width="11.33203125" style="32" bestFit="1" customWidth="1"/>
    <col min="11783" max="11783" width="11.83203125" style="32" bestFit="1" customWidth="1"/>
    <col min="11784" max="12032" width="8.83203125" style="32"/>
    <col min="12033" max="12033" width="43.1640625" style="32" customWidth="1"/>
    <col min="12034" max="12034" width="15.5" style="32" customWidth="1"/>
    <col min="12035" max="12035" width="19.83203125" style="32" bestFit="1" customWidth="1"/>
    <col min="12036" max="12038" width="11.33203125" style="32" bestFit="1" customWidth="1"/>
    <col min="12039" max="12039" width="11.83203125" style="32" bestFit="1" customWidth="1"/>
    <col min="12040" max="12288" width="8.83203125" style="32"/>
    <col min="12289" max="12289" width="43.1640625" style="32" customWidth="1"/>
    <col min="12290" max="12290" width="15.5" style="32" customWidth="1"/>
    <col min="12291" max="12291" width="19.83203125" style="32" bestFit="1" customWidth="1"/>
    <col min="12292" max="12294" width="11.33203125" style="32" bestFit="1" customWidth="1"/>
    <col min="12295" max="12295" width="11.83203125" style="32" bestFit="1" customWidth="1"/>
    <col min="12296" max="12544" width="8.83203125" style="32"/>
    <col min="12545" max="12545" width="43.1640625" style="32" customWidth="1"/>
    <col min="12546" max="12546" width="15.5" style="32" customWidth="1"/>
    <col min="12547" max="12547" width="19.83203125" style="32" bestFit="1" customWidth="1"/>
    <col min="12548" max="12550" width="11.33203125" style="32" bestFit="1" customWidth="1"/>
    <col min="12551" max="12551" width="11.83203125" style="32" bestFit="1" customWidth="1"/>
    <col min="12552" max="12800" width="8.83203125" style="32"/>
    <col min="12801" max="12801" width="43.1640625" style="32" customWidth="1"/>
    <col min="12802" max="12802" width="15.5" style="32" customWidth="1"/>
    <col min="12803" max="12803" width="19.83203125" style="32" bestFit="1" customWidth="1"/>
    <col min="12804" max="12806" width="11.33203125" style="32" bestFit="1" customWidth="1"/>
    <col min="12807" max="12807" width="11.83203125" style="32" bestFit="1" customWidth="1"/>
    <col min="12808" max="13056" width="8.83203125" style="32"/>
    <col min="13057" max="13057" width="43.1640625" style="32" customWidth="1"/>
    <col min="13058" max="13058" width="15.5" style="32" customWidth="1"/>
    <col min="13059" max="13059" width="19.83203125" style="32" bestFit="1" customWidth="1"/>
    <col min="13060" max="13062" width="11.33203125" style="32" bestFit="1" customWidth="1"/>
    <col min="13063" max="13063" width="11.83203125" style="32" bestFit="1" customWidth="1"/>
    <col min="13064" max="13312" width="8.83203125" style="32"/>
    <col min="13313" max="13313" width="43.1640625" style="32" customWidth="1"/>
    <col min="13314" max="13314" width="15.5" style="32" customWidth="1"/>
    <col min="13315" max="13315" width="19.83203125" style="32" bestFit="1" customWidth="1"/>
    <col min="13316" max="13318" width="11.33203125" style="32" bestFit="1" customWidth="1"/>
    <col min="13319" max="13319" width="11.83203125" style="32" bestFit="1" customWidth="1"/>
    <col min="13320" max="13568" width="8.83203125" style="32"/>
    <col min="13569" max="13569" width="43.1640625" style="32" customWidth="1"/>
    <col min="13570" max="13570" width="15.5" style="32" customWidth="1"/>
    <col min="13571" max="13571" width="19.83203125" style="32" bestFit="1" customWidth="1"/>
    <col min="13572" max="13574" width="11.33203125" style="32" bestFit="1" customWidth="1"/>
    <col min="13575" max="13575" width="11.83203125" style="32" bestFit="1" customWidth="1"/>
    <col min="13576" max="13824" width="8.83203125" style="32"/>
    <col min="13825" max="13825" width="43.1640625" style="32" customWidth="1"/>
    <col min="13826" max="13826" width="15.5" style="32" customWidth="1"/>
    <col min="13827" max="13827" width="19.83203125" style="32" bestFit="1" customWidth="1"/>
    <col min="13828" max="13830" width="11.33203125" style="32" bestFit="1" customWidth="1"/>
    <col min="13831" max="13831" width="11.83203125" style="32" bestFit="1" customWidth="1"/>
    <col min="13832" max="14080" width="8.83203125" style="32"/>
    <col min="14081" max="14081" width="43.1640625" style="32" customWidth="1"/>
    <col min="14082" max="14082" width="15.5" style="32" customWidth="1"/>
    <col min="14083" max="14083" width="19.83203125" style="32" bestFit="1" customWidth="1"/>
    <col min="14084" max="14086" width="11.33203125" style="32" bestFit="1" customWidth="1"/>
    <col min="14087" max="14087" width="11.83203125" style="32" bestFit="1" customWidth="1"/>
    <col min="14088" max="14336" width="8.83203125" style="32"/>
    <col min="14337" max="14337" width="43.1640625" style="32" customWidth="1"/>
    <col min="14338" max="14338" width="15.5" style="32" customWidth="1"/>
    <col min="14339" max="14339" width="19.83203125" style="32" bestFit="1" customWidth="1"/>
    <col min="14340" max="14342" width="11.33203125" style="32" bestFit="1" customWidth="1"/>
    <col min="14343" max="14343" width="11.83203125" style="32" bestFit="1" customWidth="1"/>
    <col min="14344" max="14592" width="8.83203125" style="32"/>
    <col min="14593" max="14593" width="43.1640625" style="32" customWidth="1"/>
    <col min="14594" max="14594" width="15.5" style="32" customWidth="1"/>
    <col min="14595" max="14595" width="19.83203125" style="32" bestFit="1" customWidth="1"/>
    <col min="14596" max="14598" width="11.33203125" style="32" bestFit="1" customWidth="1"/>
    <col min="14599" max="14599" width="11.83203125" style="32" bestFit="1" customWidth="1"/>
    <col min="14600" max="14848" width="8.83203125" style="32"/>
    <col min="14849" max="14849" width="43.1640625" style="32" customWidth="1"/>
    <col min="14850" max="14850" width="15.5" style="32" customWidth="1"/>
    <col min="14851" max="14851" width="19.83203125" style="32" bestFit="1" customWidth="1"/>
    <col min="14852" max="14854" width="11.33203125" style="32" bestFit="1" customWidth="1"/>
    <col min="14855" max="14855" width="11.83203125" style="32" bestFit="1" customWidth="1"/>
    <col min="14856" max="15104" width="8.83203125" style="32"/>
    <col min="15105" max="15105" width="43.1640625" style="32" customWidth="1"/>
    <col min="15106" max="15106" width="15.5" style="32" customWidth="1"/>
    <col min="15107" max="15107" width="19.83203125" style="32" bestFit="1" customWidth="1"/>
    <col min="15108" max="15110" width="11.33203125" style="32" bestFit="1" customWidth="1"/>
    <col min="15111" max="15111" width="11.83203125" style="32" bestFit="1" customWidth="1"/>
    <col min="15112" max="15360" width="8.83203125" style="32"/>
    <col min="15361" max="15361" width="43.1640625" style="32" customWidth="1"/>
    <col min="15362" max="15362" width="15.5" style="32" customWidth="1"/>
    <col min="15363" max="15363" width="19.83203125" style="32" bestFit="1" customWidth="1"/>
    <col min="15364" max="15366" width="11.33203125" style="32" bestFit="1" customWidth="1"/>
    <col min="15367" max="15367" width="11.83203125" style="32" bestFit="1" customWidth="1"/>
    <col min="15368" max="15616" width="8.83203125" style="32"/>
    <col min="15617" max="15617" width="43.1640625" style="32" customWidth="1"/>
    <col min="15618" max="15618" width="15.5" style="32" customWidth="1"/>
    <col min="15619" max="15619" width="19.83203125" style="32" bestFit="1" customWidth="1"/>
    <col min="15620" max="15622" width="11.33203125" style="32" bestFit="1" customWidth="1"/>
    <col min="15623" max="15623" width="11.83203125" style="32" bestFit="1" customWidth="1"/>
    <col min="15624" max="15872" width="8.83203125" style="32"/>
    <col min="15873" max="15873" width="43.1640625" style="32" customWidth="1"/>
    <col min="15874" max="15874" width="15.5" style="32" customWidth="1"/>
    <col min="15875" max="15875" width="19.83203125" style="32" bestFit="1" customWidth="1"/>
    <col min="15876" max="15878" width="11.33203125" style="32" bestFit="1" customWidth="1"/>
    <col min="15879" max="15879" width="11.83203125" style="32" bestFit="1" customWidth="1"/>
    <col min="15880" max="16128" width="8.83203125" style="32"/>
    <col min="16129" max="16129" width="43.1640625" style="32" customWidth="1"/>
    <col min="16130" max="16130" width="15.5" style="32" customWidth="1"/>
    <col min="16131" max="16131" width="19.83203125" style="32" bestFit="1" customWidth="1"/>
    <col min="16132" max="16134" width="11.33203125" style="32" bestFit="1" customWidth="1"/>
    <col min="16135" max="16135" width="11.83203125" style="32" bestFit="1" customWidth="1"/>
    <col min="16136" max="16384" width="8.83203125" style="32"/>
  </cols>
  <sheetData>
    <row r="1" spans="1:10" customFormat="1" ht="18">
      <c r="A1" s="58" t="s">
        <v>67</v>
      </c>
      <c r="B1" s="59"/>
      <c r="C1" s="59"/>
      <c r="D1" s="32"/>
    </row>
    <row r="3" spans="1:10" ht="18">
      <c r="A3" s="29" t="s">
        <v>54</v>
      </c>
      <c r="B3" s="30"/>
      <c r="C3" s="30"/>
      <c r="D3" s="30"/>
      <c r="E3" s="30"/>
      <c r="F3" s="30"/>
      <c r="G3" s="31"/>
      <c r="H3" s="31"/>
      <c r="I3" s="31"/>
      <c r="J3" s="31"/>
    </row>
    <row r="4" spans="1:10" ht="16.5" customHeight="1">
      <c r="A4" s="29"/>
      <c r="B4" s="30"/>
      <c r="C4" s="30"/>
      <c r="D4" s="30"/>
      <c r="E4" s="30"/>
      <c r="F4" s="30"/>
      <c r="G4" s="31"/>
      <c r="H4" s="31"/>
      <c r="I4" s="31"/>
      <c r="J4" s="31"/>
    </row>
    <row r="5" spans="1:10" ht="16.5" customHeight="1">
      <c r="A5" s="45" t="s">
        <v>56</v>
      </c>
      <c r="B5" s="46"/>
      <c r="C5" s="30"/>
      <c r="D5" s="30"/>
      <c r="E5" s="30"/>
      <c r="F5" s="30"/>
      <c r="G5" s="31"/>
      <c r="H5" s="31"/>
      <c r="I5" s="31"/>
      <c r="J5" s="31"/>
    </row>
    <row r="6" spans="1:10" ht="15.75" customHeight="1">
      <c r="A6" s="47" t="s">
        <v>57</v>
      </c>
      <c r="B6" s="48">
        <v>0.11</v>
      </c>
      <c r="C6" s="30"/>
      <c r="D6" s="30"/>
      <c r="E6" s="30"/>
      <c r="F6" s="30"/>
      <c r="G6" s="31"/>
      <c r="H6" s="31"/>
      <c r="I6" s="31"/>
      <c r="J6" s="31"/>
    </row>
    <row r="7" spans="1:10" ht="15.75" customHeight="1">
      <c r="A7" s="47" t="s">
        <v>58</v>
      </c>
      <c r="B7" s="48">
        <v>0.05</v>
      </c>
      <c r="C7" s="30"/>
      <c r="D7" s="30"/>
      <c r="E7" s="30"/>
      <c r="F7" s="30"/>
      <c r="G7" s="31"/>
      <c r="H7" s="31"/>
      <c r="I7" s="31"/>
      <c r="J7" s="31"/>
    </row>
    <row r="8" spans="1:10" ht="15.75" customHeight="1">
      <c r="A8" s="47" t="s">
        <v>75</v>
      </c>
      <c r="B8" s="70">
        <v>375000</v>
      </c>
      <c r="C8" s="30"/>
      <c r="D8" s="30"/>
      <c r="E8" s="30"/>
      <c r="F8" s="30"/>
      <c r="G8" s="31"/>
      <c r="H8" s="31"/>
      <c r="I8" s="31"/>
      <c r="J8" s="31"/>
    </row>
    <row r="9" spans="1:10" ht="15.75" customHeight="1">
      <c r="A9" s="47" t="s">
        <v>76</v>
      </c>
      <c r="B9" s="70">
        <v>15</v>
      </c>
      <c r="C9" s="30"/>
      <c r="D9" s="30"/>
      <c r="E9" s="30"/>
      <c r="F9" s="30"/>
      <c r="G9" s="31"/>
      <c r="H9" s="31"/>
      <c r="I9" s="31"/>
      <c r="J9" s="31"/>
    </row>
    <row r="11" spans="1:10">
      <c r="A11" s="33" t="s">
        <v>13</v>
      </c>
    </row>
    <row r="12" spans="1:10">
      <c r="A12" s="32" t="s">
        <v>14</v>
      </c>
      <c r="B12" s="34">
        <v>0.08</v>
      </c>
      <c r="C12" s="35" t="s">
        <v>15</v>
      </c>
    </row>
    <row r="13" spans="1:10">
      <c r="A13" s="32" t="s">
        <v>16</v>
      </c>
      <c r="B13" s="34">
        <v>0.05</v>
      </c>
      <c r="C13" s="35"/>
    </row>
    <row r="14" spans="1:10">
      <c r="A14" s="32" t="s">
        <v>17</v>
      </c>
      <c r="B14" s="34">
        <v>0.08</v>
      </c>
      <c r="C14" s="35" t="s">
        <v>18</v>
      </c>
    </row>
    <row r="15" spans="1:10">
      <c r="A15" s="32" t="s">
        <v>19</v>
      </c>
      <c r="B15" s="34">
        <v>0.15</v>
      </c>
      <c r="C15" s="35" t="s">
        <v>18</v>
      </c>
    </row>
    <row r="16" spans="1:10">
      <c r="A16" s="32" t="s">
        <v>20</v>
      </c>
      <c r="B16" s="34">
        <v>0.55000000000000004</v>
      </c>
      <c r="C16" s="35" t="s">
        <v>18</v>
      </c>
    </row>
    <row r="17" spans="1:9">
      <c r="A17" s="32" t="s">
        <v>21</v>
      </c>
      <c r="B17" s="34">
        <v>0.75</v>
      </c>
      <c r="C17" s="35" t="s">
        <v>18</v>
      </c>
    </row>
    <row r="18" spans="1:9">
      <c r="A18" s="32" t="s">
        <v>22</v>
      </c>
      <c r="B18" s="34">
        <v>0.1</v>
      </c>
      <c r="C18" s="35" t="s">
        <v>23</v>
      </c>
    </row>
    <row r="19" spans="1:9">
      <c r="A19" s="32" t="s">
        <v>24</v>
      </c>
      <c r="B19" s="36">
        <v>0.09</v>
      </c>
      <c r="C19" s="35" t="s">
        <v>25</v>
      </c>
    </row>
    <row r="20" spans="1:9">
      <c r="A20" s="32" t="s">
        <v>26</v>
      </c>
      <c r="B20" s="36">
        <v>0.08</v>
      </c>
      <c r="C20" s="35" t="s">
        <v>27</v>
      </c>
    </row>
    <row r="21" spans="1:9">
      <c r="A21" s="32" t="s">
        <v>28</v>
      </c>
      <c r="B21" s="34">
        <v>0.35</v>
      </c>
      <c r="C21" s="35" t="s">
        <v>18</v>
      </c>
    </row>
    <row r="22" spans="1:9">
      <c r="A22" s="32" t="s">
        <v>29</v>
      </c>
      <c r="B22" s="34">
        <v>0.4</v>
      </c>
      <c r="C22" s="35" t="s">
        <v>18</v>
      </c>
    </row>
    <row r="23" spans="1:9">
      <c r="B23" s="34"/>
      <c r="C23" s="35"/>
    </row>
    <row r="24" spans="1:9">
      <c r="B24" s="37"/>
    </row>
    <row r="26" spans="1:9" ht="14" thickBot="1">
      <c r="A26" s="38" t="s">
        <v>30</v>
      </c>
      <c r="B26" s="39">
        <v>2012</v>
      </c>
      <c r="C26" s="39">
        <v>2013</v>
      </c>
      <c r="D26" s="39">
        <v>2014</v>
      </c>
      <c r="E26" s="39">
        <v>2015</v>
      </c>
      <c r="F26" s="39">
        <v>2016</v>
      </c>
      <c r="G26" s="39">
        <v>2017</v>
      </c>
    </row>
    <row r="27" spans="1:9" ht="16" thickTop="1">
      <c r="A27" s="40" t="s">
        <v>31</v>
      </c>
    </row>
    <row r="28" spans="1:9">
      <c r="A28" s="32" t="s">
        <v>32</v>
      </c>
      <c r="B28" s="41">
        <v>9500000</v>
      </c>
      <c r="C28" s="41">
        <f>B28*(1+$B$12)</f>
        <v>10260000</v>
      </c>
      <c r="D28" s="41">
        <f t="shared" ref="D28:G28" si="0">C28*(1+$B$12)</f>
        <v>11080800</v>
      </c>
      <c r="E28" s="41">
        <f t="shared" si="0"/>
        <v>11967264</v>
      </c>
      <c r="F28" s="41">
        <f t="shared" si="0"/>
        <v>12924645.120000001</v>
      </c>
      <c r="G28" s="41">
        <f t="shared" si="0"/>
        <v>13958616.729600001</v>
      </c>
    </row>
    <row r="29" spans="1:9">
      <c r="A29" s="32" t="s">
        <v>33</v>
      </c>
      <c r="B29" s="41">
        <v>-5500000</v>
      </c>
      <c r="C29" s="41">
        <f>-C28*$B$16</f>
        <v>-5643000</v>
      </c>
      <c r="D29" s="41">
        <f t="shared" ref="D29:G29" si="1">-D28*$B$16</f>
        <v>-6094440.0000000009</v>
      </c>
      <c r="E29" s="41">
        <f t="shared" si="1"/>
        <v>-6581995.2000000002</v>
      </c>
      <c r="F29" s="41">
        <f t="shared" si="1"/>
        <v>-7108554.8160000015</v>
      </c>
      <c r="G29" s="41">
        <f t="shared" si="1"/>
        <v>-7677239.2012800016</v>
      </c>
    </row>
    <row r="30" spans="1:9">
      <c r="A30" s="32" t="s">
        <v>34</v>
      </c>
      <c r="B30" s="41">
        <v>-1000000</v>
      </c>
      <c r="C30" s="41">
        <f>-$B$18*B45</f>
        <v>-1070000</v>
      </c>
      <c r="D30" s="41">
        <f t="shared" ref="D30:G30" ca="1" si="2">-$B$18*C45</f>
        <v>-1182105.2631578948</v>
      </c>
      <c r="E30" s="41">
        <f t="shared" ca="1" si="2"/>
        <v>-1371337.3961218838</v>
      </c>
      <c r="F30" s="41">
        <f t="shared" ca="1" si="2"/>
        <v>-1585672.7009768188</v>
      </c>
      <c r="G30" s="41">
        <f t="shared" ca="1" si="2"/>
        <v>-1828168.3368691155</v>
      </c>
      <c r="I30" s="42"/>
    </row>
    <row r="31" spans="1:9">
      <c r="A31" s="32" t="s">
        <v>35</v>
      </c>
      <c r="B31" s="41">
        <v>64000</v>
      </c>
      <c r="C31" s="41">
        <f ca="1">$B$20*(B42+C42)/2</f>
        <v>89391.355140186919</v>
      </c>
      <c r="D31" s="41">
        <f t="shared" ref="D31:G31" ca="1" si="3">$B$20*(C42+D42)/2</f>
        <v>130968.09648020186</v>
      </c>
      <c r="E31" s="41">
        <f t="shared" ca="1" si="3"/>
        <v>165521.58002898059</v>
      </c>
      <c r="F31" s="41">
        <f t="shared" ca="1" si="3"/>
        <v>204442.54495031782</v>
      </c>
      <c r="G31" s="41">
        <f t="shared" ca="1" si="3"/>
        <v>247713.18276560144</v>
      </c>
    </row>
    <row r="32" spans="1:9">
      <c r="A32" s="32" t="s">
        <v>36</v>
      </c>
      <c r="B32" s="41">
        <v>-320000</v>
      </c>
      <c r="C32" s="41">
        <f>-$B$19*(B51+C51)/2</f>
        <v>-244125</v>
      </c>
      <c r="D32" s="41">
        <f t="shared" ref="D32:G32" si="4">-$B$19*(C51+D51)/2</f>
        <v>-210375</v>
      </c>
      <c r="E32" s="41">
        <f t="shared" si="4"/>
        <v>-176625</v>
      </c>
      <c r="F32" s="41">
        <f t="shared" si="4"/>
        <v>-142875</v>
      </c>
      <c r="G32" s="41">
        <f t="shared" si="4"/>
        <v>-109125</v>
      </c>
    </row>
    <row r="33" spans="1:7">
      <c r="A33" s="32" t="s">
        <v>37</v>
      </c>
      <c r="B33" s="41">
        <f>SUM(B28:B32)</f>
        <v>2744000</v>
      </c>
      <c r="C33" s="41">
        <f ca="1">SUM(C28:C32)</f>
        <v>3392266.3551401868</v>
      </c>
      <c r="D33" s="41">
        <f t="shared" ref="D33:G33" ca="1" si="5">SUM(D28:D32)</f>
        <v>3724847.8333223062</v>
      </c>
      <c r="E33" s="41">
        <f t="shared" ca="1" si="5"/>
        <v>4002827.9839070966</v>
      </c>
      <c r="F33" s="41">
        <f t="shared" ca="1" si="5"/>
        <v>4291985.1479734983</v>
      </c>
      <c r="G33" s="41">
        <f t="shared" ca="1" si="5"/>
        <v>4591797.3742164858</v>
      </c>
    </row>
    <row r="34" spans="1:7">
      <c r="A34" s="32" t="s">
        <v>38</v>
      </c>
      <c r="B34" s="41">
        <f>-B21*B33</f>
        <v>-960399.99999999988</v>
      </c>
      <c r="C34" s="41">
        <f ca="1">-$B$21*C33</f>
        <v>-1187293.2242990653</v>
      </c>
      <c r="D34" s="41">
        <f t="shared" ref="D34:G34" ca="1" si="6">-$B$21*D33</f>
        <v>-1303696.7416628071</v>
      </c>
      <c r="E34" s="41">
        <f t="shared" ca="1" si="6"/>
        <v>-1400989.7943674838</v>
      </c>
      <c r="F34" s="41">
        <f t="shared" ca="1" si="6"/>
        <v>-1502194.8017907243</v>
      </c>
      <c r="G34" s="41">
        <f t="shared" ca="1" si="6"/>
        <v>-1607129.08097577</v>
      </c>
    </row>
    <row r="35" spans="1:7">
      <c r="A35" s="32" t="s">
        <v>39</v>
      </c>
      <c r="B35" s="41">
        <f>SUM(B33:B34)</f>
        <v>1783600</v>
      </c>
      <c r="C35" s="41">
        <f ca="1">C33+C34</f>
        <v>2204973.1308411215</v>
      </c>
      <c r="D35" s="41">
        <f t="shared" ref="D35:G35" ca="1" si="7">D33+D34</f>
        <v>2421151.0916594993</v>
      </c>
      <c r="E35" s="41">
        <f t="shared" ca="1" si="7"/>
        <v>2601838.1895396127</v>
      </c>
      <c r="F35" s="41">
        <f t="shared" ca="1" si="7"/>
        <v>2789790.3461827738</v>
      </c>
      <c r="G35" s="41">
        <f t="shared" ca="1" si="7"/>
        <v>2984668.2932407157</v>
      </c>
    </row>
    <row r="36" spans="1:7">
      <c r="A36" s="32" t="s">
        <v>40</v>
      </c>
      <c r="B36" s="41">
        <f>-B22*B35</f>
        <v>-713440</v>
      </c>
      <c r="C36" s="41">
        <f ca="1">-$B$22*C35</f>
        <v>-881989.25233644864</v>
      </c>
      <c r="D36" s="41">
        <f t="shared" ref="D36:G36" ca="1" si="8">-$B$22*D35</f>
        <v>-968460.4366637998</v>
      </c>
      <c r="E36" s="41">
        <f t="shared" ca="1" si="8"/>
        <v>-1040735.2758158451</v>
      </c>
      <c r="F36" s="41">
        <f t="shared" ca="1" si="8"/>
        <v>-1115916.1384731096</v>
      </c>
      <c r="G36" s="41">
        <f t="shared" ca="1" si="8"/>
        <v>-1193867.3172962863</v>
      </c>
    </row>
    <row r="37" spans="1:7">
      <c r="A37" s="32" t="s">
        <v>41</v>
      </c>
      <c r="B37" s="41">
        <f>B35+B36</f>
        <v>1070160</v>
      </c>
      <c r="C37" s="41">
        <f ca="1">C35+C36</f>
        <v>1322983.878504673</v>
      </c>
      <c r="D37" s="41">
        <f t="shared" ref="D37:G37" ca="1" si="9">D35+D36</f>
        <v>1452690.6549956994</v>
      </c>
      <c r="E37" s="41">
        <f t="shared" ca="1" si="9"/>
        <v>1561102.9137237677</v>
      </c>
      <c r="F37" s="41">
        <f t="shared" ca="1" si="9"/>
        <v>1673874.2077096642</v>
      </c>
      <c r="G37" s="41">
        <f t="shared" ca="1" si="9"/>
        <v>1790800.9759444294</v>
      </c>
    </row>
    <row r="38" spans="1:7">
      <c r="B38" s="41"/>
      <c r="C38" s="41"/>
      <c r="D38" s="41"/>
      <c r="E38" s="41"/>
      <c r="F38" s="41"/>
      <c r="G38" s="41"/>
    </row>
    <row r="39" spans="1:7">
      <c r="B39" s="41"/>
      <c r="C39" s="41"/>
      <c r="D39" s="41"/>
      <c r="E39" s="41"/>
      <c r="F39" s="41"/>
      <c r="G39" s="41"/>
    </row>
    <row r="40" spans="1:7" ht="14" thickBot="1">
      <c r="A40" s="43" t="s">
        <v>30</v>
      </c>
      <c r="B40" s="44">
        <f>B26</f>
        <v>2012</v>
      </c>
      <c r="C40" s="44">
        <f t="shared" ref="C40:G40" si="10">C26</f>
        <v>2013</v>
      </c>
      <c r="D40" s="44">
        <f t="shared" si="10"/>
        <v>2014</v>
      </c>
      <c r="E40" s="44">
        <f>E26</f>
        <v>2015</v>
      </c>
      <c r="F40" s="44">
        <f t="shared" si="10"/>
        <v>2016</v>
      </c>
      <c r="G40" s="44">
        <f t="shared" si="10"/>
        <v>2017</v>
      </c>
    </row>
    <row r="41" spans="1:7" ht="16" thickTop="1">
      <c r="A41" s="40" t="s">
        <v>42</v>
      </c>
      <c r="B41" s="41"/>
      <c r="C41" s="41"/>
      <c r="D41" s="41"/>
      <c r="E41" s="41"/>
      <c r="F41" s="41"/>
      <c r="G41" s="41"/>
    </row>
    <row r="42" spans="1:7">
      <c r="A42" s="42" t="s">
        <v>43</v>
      </c>
      <c r="B42" s="41">
        <v>800000</v>
      </c>
      <c r="C42" s="41">
        <f ca="1">C54-C43-C47</f>
        <v>1434783.878504673</v>
      </c>
      <c r="D42" s="41">
        <f t="shared" ref="D42:G42" ca="1" si="11">D54-D43-D47</f>
        <v>1839418.5335003734</v>
      </c>
      <c r="E42" s="41">
        <f t="shared" ca="1" si="11"/>
        <v>2298620.9672241416</v>
      </c>
      <c r="F42" s="41">
        <f t="shared" ca="1" si="11"/>
        <v>2812442.6565338038</v>
      </c>
      <c r="G42" s="41">
        <f t="shared" ca="1" si="11"/>
        <v>3380386.9126062319</v>
      </c>
    </row>
    <row r="43" spans="1:7">
      <c r="A43" s="32" t="s">
        <v>44</v>
      </c>
      <c r="B43" s="41">
        <v>1500000</v>
      </c>
      <c r="C43" s="41">
        <f>C28*$B$15</f>
        <v>1539000</v>
      </c>
      <c r="D43" s="41">
        <f t="shared" ref="D43:G43" si="12">D28*$B$15</f>
        <v>1662120</v>
      </c>
      <c r="E43" s="41">
        <f t="shared" si="12"/>
        <v>1795089.5999999999</v>
      </c>
      <c r="F43" s="41">
        <f t="shared" si="12"/>
        <v>1938696.7680000002</v>
      </c>
      <c r="G43" s="41">
        <f t="shared" si="12"/>
        <v>2093792.5094400002</v>
      </c>
    </row>
    <row r="44" spans="1:7">
      <c r="A44" s="32" t="s">
        <v>45</v>
      </c>
      <c r="B44" s="41"/>
      <c r="C44" s="41"/>
      <c r="D44" s="41"/>
      <c r="E44" s="41"/>
      <c r="F44" s="41"/>
      <c r="G44" s="41"/>
    </row>
    <row r="45" spans="1:7">
      <c r="A45" s="32" t="s">
        <v>46</v>
      </c>
      <c r="B45" s="41">
        <v>10700000</v>
      </c>
      <c r="C45" s="41">
        <f ca="1">C47-C46</f>
        <v>11821052.631578948</v>
      </c>
      <c r="D45" s="41">
        <f t="shared" ref="D45:G45" ca="1" si="13">D47-D46</f>
        <v>13713373.961218838</v>
      </c>
      <c r="E45" s="41">
        <f t="shared" ca="1" si="13"/>
        <v>15856727.009768188</v>
      </c>
      <c r="F45" s="41">
        <f t="shared" ca="1" si="13"/>
        <v>18281683.368691154</v>
      </c>
      <c r="G45" s="41">
        <f t="shared" ca="1" si="13"/>
        <v>21022364.467711277</v>
      </c>
    </row>
    <row r="46" spans="1:7">
      <c r="A46" s="32" t="s">
        <v>47</v>
      </c>
      <c r="B46" s="41">
        <v>-3000000</v>
      </c>
      <c r="C46" s="41">
        <f ca="1">B46-$B$18*(B45+C45)/2</f>
        <v>-4126052.6315789474</v>
      </c>
      <c r="D46" s="41">
        <f t="shared" ref="D46:G46" ca="1" si="14">C46-$B$18*(C45+D45)/2</f>
        <v>-5402773.9612188367</v>
      </c>
      <c r="E46" s="41">
        <f t="shared" ca="1" si="14"/>
        <v>-6881279.009768188</v>
      </c>
      <c r="F46" s="41">
        <f t="shared" ca="1" si="14"/>
        <v>-8588199.5286911558</v>
      </c>
      <c r="G46" s="41">
        <f t="shared" ca="1" si="14"/>
        <v>-10553401.920511277</v>
      </c>
    </row>
    <row r="47" spans="1:7">
      <c r="A47" s="32" t="s">
        <v>48</v>
      </c>
      <c r="B47" s="41">
        <v>7700000</v>
      </c>
      <c r="C47" s="41">
        <f>C28*$B$17</f>
        <v>7695000</v>
      </c>
      <c r="D47" s="41">
        <f t="shared" ref="D47:G47" si="15">D28*$B$17</f>
        <v>8310600</v>
      </c>
      <c r="E47" s="41">
        <f t="shared" si="15"/>
        <v>8975448</v>
      </c>
      <c r="F47" s="41">
        <f t="shared" si="15"/>
        <v>9693483.8399999999</v>
      </c>
      <c r="G47" s="41">
        <f t="shared" si="15"/>
        <v>10468962.547200002</v>
      </c>
    </row>
    <row r="48" spans="1:7">
      <c r="A48" s="2" t="s">
        <v>49</v>
      </c>
      <c r="B48" s="41">
        <v>10000000</v>
      </c>
      <c r="C48" s="41">
        <f ca="1">C47+C43+C42</f>
        <v>10668783.878504673</v>
      </c>
      <c r="D48" s="41">
        <f t="shared" ref="D48:G48" ca="1" si="16">D47+D43+D42</f>
        <v>11812138.533500373</v>
      </c>
      <c r="E48" s="41">
        <f t="shared" ca="1" si="16"/>
        <v>13069158.567224141</v>
      </c>
      <c r="F48" s="41">
        <f t="shared" ca="1" si="16"/>
        <v>14444623.264533803</v>
      </c>
      <c r="G48" s="41">
        <f t="shared" ca="1" si="16"/>
        <v>15943141.969246235</v>
      </c>
    </row>
    <row r="49" spans="1:7">
      <c r="B49" s="41"/>
      <c r="C49" s="41"/>
      <c r="D49" s="41"/>
      <c r="E49" s="41"/>
      <c r="F49" s="41"/>
      <c r="G49" s="41"/>
    </row>
    <row r="50" spans="1:7">
      <c r="A50" s="32" t="s">
        <v>50</v>
      </c>
      <c r="B50" s="41">
        <v>800000</v>
      </c>
      <c r="C50" s="41">
        <f>C28*$B$14</f>
        <v>820800</v>
      </c>
      <c r="D50" s="41">
        <f t="shared" ref="D50:G50" si="17">D28*$B$14</f>
        <v>886464</v>
      </c>
      <c r="E50" s="41">
        <f t="shared" si="17"/>
        <v>957381.12</v>
      </c>
      <c r="F50" s="41">
        <f t="shared" si="17"/>
        <v>1033971.6096000001</v>
      </c>
      <c r="G50" s="41">
        <f t="shared" si="17"/>
        <v>1116689.338368</v>
      </c>
    </row>
    <row r="51" spans="1:7">
      <c r="A51" s="32" t="s">
        <v>51</v>
      </c>
      <c r="B51" s="41">
        <v>2900000</v>
      </c>
      <c r="C51" s="41">
        <f>B51-375000</f>
        <v>2525000</v>
      </c>
      <c r="D51" s="41">
        <f t="shared" ref="D51:G51" si="18">C51-375000</f>
        <v>2150000</v>
      </c>
      <c r="E51" s="41">
        <f t="shared" si="18"/>
        <v>1775000</v>
      </c>
      <c r="F51" s="41">
        <f t="shared" si="18"/>
        <v>1400000</v>
      </c>
      <c r="G51" s="41">
        <f t="shared" si="18"/>
        <v>1025000</v>
      </c>
    </row>
    <row r="52" spans="1:7">
      <c r="A52" s="32" t="s">
        <v>3</v>
      </c>
      <c r="B52" s="41">
        <v>4500000</v>
      </c>
      <c r="C52" s="41">
        <f>B52</f>
        <v>4500000</v>
      </c>
      <c r="D52" s="41">
        <f t="shared" ref="D52:G52" si="19">C52</f>
        <v>4500000</v>
      </c>
      <c r="E52" s="41">
        <f t="shared" si="19"/>
        <v>4500000</v>
      </c>
      <c r="F52" s="41">
        <f t="shared" si="19"/>
        <v>4500000</v>
      </c>
      <c r="G52" s="41">
        <f t="shared" si="19"/>
        <v>4500000</v>
      </c>
    </row>
    <row r="53" spans="1:7">
      <c r="A53" s="32" t="s">
        <v>52</v>
      </c>
      <c r="B53" s="41">
        <v>1500000</v>
      </c>
      <c r="C53" s="41">
        <f ca="1">B53+C37</f>
        <v>2822983.878504673</v>
      </c>
      <c r="D53" s="41">
        <f t="shared" ref="D53:G53" ca="1" si="20">C53+D37</f>
        <v>4275674.5335003724</v>
      </c>
      <c r="E53" s="41">
        <f t="shared" ca="1" si="20"/>
        <v>5836777.4472241402</v>
      </c>
      <c r="F53" s="41">
        <f t="shared" ca="1" si="20"/>
        <v>7510651.6549338046</v>
      </c>
      <c r="G53" s="41">
        <f t="shared" ca="1" si="20"/>
        <v>9301452.6308782343</v>
      </c>
    </row>
    <row r="54" spans="1:7">
      <c r="A54" s="2" t="s">
        <v>53</v>
      </c>
      <c r="B54" s="41">
        <v>10000000</v>
      </c>
      <c r="C54" s="41">
        <f ca="1">SUM(C50:C53)</f>
        <v>10668783.878504673</v>
      </c>
      <c r="D54" s="41">
        <f t="shared" ref="D54:G54" ca="1" si="21">SUM(D50:D53)</f>
        <v>11812138.533500373</v>
      </c>
      <c r="E54" s="41">
        <f t="shared" ca="1" si="21"/>
        <v>13069158.567224141</v>
      </c>
      <c r="F54" s="41">
        <f t="shared" ca="1" si="21"/>
        <v>14444623.264533805</v>
      </c>
      <c r="G54" s="41">
        <f t="shared" ca="1" si="21"/>
        <v>15943141.969246235</v>
      </c>
    </row>
    <row r="55" spans="1:7">
      <c r="A55" s="2"/>
      <c r="B55" s="41"/>
      <c r="C55" s="41"/>
      <c r="D55" s="41"/>
      <c r="E55" s="41"/>
      <c r="F55" s="41"/>
      <c r="G55" s="41"/>
    </row>
    <row r="56" spans="1:7">
      <c r="A56" s="2"/>
      <c r="B56" s="41"/>
      <c r="C56" s="41"/>
      <c r="D56" s="41"/>
      <c r="E56" s="41"/>
      <c r="F56" s="41"/>
      <c r="G56" s="41"/>
    </row>
    <row r="57" spans="1:7" customFormat="1" ht="15.75" customHeight="1">
      <c r="A57" s="71" t="s">
        <v>30</v>
      </c>
      <c r="B57" s="72">
        <v>2012</v>
      </c>
      <c r="C57" s="72">
        <v>2013</v>
      </c>
      <c r="D57" s="72">
        <v>2014</v>
      </c>
      <c r="E57" s="72">
        <v>2015</v>
      </c>
      <c r="F57" s="72">
        <v>2016</v>
      </c>
      <c r="G57" s="72">
        <v>2017</v>
      </c>
    </row>
    <row r="58" spans="1:7" customFormat="1" ht="15">
      <c r="A58" s="50" t="s">
        <v>59</v>
      </c>
      <c r="C58" s="51"/>
      <c r="D58" s="49"/>
      <c r="E58" s="49"/>
      <c r="F58" s="49"/>
      <c r="G58" s="49"/>
    </row>
    <row r="59" spans="1:7" customFormat="1" ht="17.25" customHeight="1">
      <c r="A59" s="53" t="s">
        <v>39</v>
      </c>
      <c r="B59" s="54"/>
      <c r="C59" s="55">
        <f ca="1">C35</f>
        <v>2204973.1308411215</v>
      </c>
      <c r="D59" s="55">
        <f t="shared" ref="D59:G59" ca="1" si="22">D35</f>
        <v>2421151.0916594993</v>
      </c>
      <c r="E59" s="55">
        <f t="shared" ca="1" si="22"/>
        <v>2601838.1895396127</v>
      </c>
      <c r="F59" s="55">
        <f t="shared" ca="1" si="22"/>
        <v>2789790.3461827738</v>
      </c>
      <c r="G59" s="55">
        <f t="shared" ca="1" si="22"/>
        <v>2984668.2932407157</v>
      </c>
    </row>
    <row r="60" spans="1:7" customFormat="1" ht="15.75" customHeight="1">
      <c r="A60" s="53" t="s">
        <v>60</v>
      </c>
      <c r="B60" s="54"/>
      <c r="C60" s="55">
        <f>-C30</f>
        <v>1070000</v>
      </c>
      <c r="D60" s="55">
        <f t="shared" ref="D60:G60" ca="1" si="23">-D30</f>
        <v>1182105.2631578948</v>
      </c>
      <c r="E60" s="55">
        <f t="shared" ca="1" si="23"/>
        <v>1371337.3961218838</v>
      </c>
      <c r="F60" s="55">
        <f t="shared" ca="1" si="23"/>
        <v>1585672.7009768188</v>
      </c>
      <c r="G60" s="55">
        <f t="shared" ca="1" si="23"/>
        <v>1828168.3368691155</v>
      </c>
    </row>
    <row r="61" spans="1:7" customFormat="1" ht="14.25" customHeight="1">
      <c r="A61" s="53" t="s">
        <v>61</v>
      </c>
      <c r="B61" s="54"/>
      <c r="C61" s="55">
        <f>-(C43-B43)</f>
        <v>-39000</v>
      </c>
      <c r="D61" s="55">
        <f t="shared" ref="D61:G61" si="24">-(D43-C43)</f>
        <v>-123120</v>
      </c>
      <c r="E61" s="55">
        <f t="shared" si="24"/>
        <v>-132969.59999999986</v>
      </c>
      <c r="F61" s="55">
        <f t="shared" si="24"/>
        <v>-143607.1680000003</v>
      </c>
      <c r="G61" s="55">
        <f t="shared" si="24"/>
        <v>-155095.74144000001</v>
      </c>
    </row>
    <row r="62" spans="1:7" customFormat="1" ht="18.75" customHeight="1">
      <c r="A62" s="53" t="s">
        <v>62</v>
      </c>
      <c r="B62" s="54"/>
      <c r="C62" s="55">
        <f>C50-B50</f>
        <v>20800</v>
      </c>
      <c r="D62" s="55">
        <f>D50-C50</f>
        <v>65664</v>
      </c>
      <c r="E62" s="55">
        <f>E50-D50</f>
        <v>70917.119999999995</v>
      </c>
      <c r="F62" s="55">
        <f>F50-E50</f>
        <v>76590.489600000088</v>
      </c>
      <c r="G62" s="55">
        <f>G50-F50</f>
        <v>82717.728767999914</v>
      </c>
    </row>
    <row r="63" spans="1:7" customFormat="1" ht="15" customHeight="1">
      <c r="A63" s="53" t="s">
        <v>63</v>
      </c>
      <c r="B63" s="54"/>
      <c r="C63" s="55">
        <f ca="1">-(C45-B45)</f>
        <v>-1121052.6315789483</v>
      </c>
      <c r="D63" s="55">
        <f t="shared" ref="D63:G63" ca="1" si="25">-(D45-C45)</f>
        <v>-1892321.3296398893</v>
      </c>
      <c r="E63" s="55">
        <f t="shared" ca="1" si="25"/>
        <v>-2143353.0485493504</v>
      </c>
      <c r="F63" s="55">
        <f t="shared" ca="1" si="25"/>
        <v>-2424956.3589229658</v>
      </c>
      <c r="G63" s="55">
        <f t="shared" ca="1" si="25"/>
        <v>-2740681.0990201235</v>
      </c>
    </row>
    <row r="64" spans="1:7" customFormat="1" ht="17.25" customHeight="1">
      <c r="A64" s="53" t="s">
        <v>64</v>
      </c>
      <c r="B64" s="54"/>
      <c r="C64" s="55">
        <f>-(1-$B$21)*C32</f>
        <v>158681.25</v>
      </c>
      <c r="D64" s="55">
        <f t="shared" ref="D64:G64" si="26">-(1-$B$21)*D32</f>
        <v>136743.75</v>
      </c>
      <c r="E64" s="55">
        <f t="shared" si="26"/>
        <v>114806.25</v>
      </c>
      <c r="F64" s="55">
        <f t="shared" si="26"/>
        <v>92868.75</v>
      </c>
      <c r="G64" s="55">
        <f t="shared" si="26"/>
        <v>70931.25</v>
      </c>
    </row>
    <row r="65" spans="1:7" customFormat="1" ht="18" customHeight="1">
      <c r="A65" s="53" t="s">
        <v>65</v>
      </c>
      <c r="B65" s="54"/>
      <c r="C65" s="55">
        <f ca="1">-(1-$B$21)*C31</f>
        <v>-58104.3808411215</v>
      </c>
      <c r="D65" s="55">
        <f t="shared" ref="D65:G65" ca="1" si="27">-(1-$B$21)*D31</f>
        <v>-85129.262712131211</v>
      </c>
      <c r="E65" s="55">
        <f t="shared" ca="1" si="27"/>
        <v>-107589.02701883738</v>
      </c>
      <c r="F65" s="55">
        <f t="shared" ca="1" si="27"/>
        <v>-132887.65421770659</v>
      </c>
      <c r="G65" s="55">
        <f t="shared" ca="1" si="27"/>
        <v>-161013.56879764094</v>
      </c>
    </row>
    <row r="66" spans="1:7" customFormat="1" ht="16.5" customHeight="1">
      <c r="A66" s="52" t="s">
        <v>66</v>
      </c>
      <c r="B66" s="54"/>
      <c r="C66" s="55">
        <f ca="1">SUM(C59:C65)</f>
        <v>2236297.3684210517</v>
      </c>
      <c r="D66" s="55">
        <f t="shared" ref="D66:G66" ca="1" si="28">SUM(D59:D65)</f>
        <v>1705093.5124653736</v>
      </c>
      <c r="E66" s="55">
        <f t="shared" ca="1" si="28"/>
        <v>1774987.2800933088</v>
      </c>
      <c r="F66" s="55">
        <f t="shared" ca="1" si="28"/>
        <v>1843471.1056189197</v>
      </c>
      <c r="G66" s="55">
        <f t="shared" ca="1" si="28"/>
        <v>1909695.1996200676</v>
      </c>
    </row>
    <row r="68" spans="1:7">
      <c r="A68" s="56"/>
    </row>
    <row r="70" spans="1:7">
      <c r="B70" s="37"/>
    </row>
    <row r="73" spans="1:7">
      <c r="B73" s="57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D7" sqref="D7"/>
    </sheetView>
  </sheetViews>
  <sheetFormatPr baseColWidth="10" defaultColWidth="11.5" defaultRowHeight="12" x14ac:dyDescent="0"/>
  <cols>
    <col min="4" max="4" width="14" customWidth="1"/>
  </cols>
  <sheetData>
    <row r="1" spans="1:9">
      <c r="A1" s="96"/>
      <c r="B1" s="97"/>
      <c r="C1" s="97"/>
      <c r="D1" s="97"/>
      <c r="E1" s="97"/>
      <c r="F1" s="97"/>
      <c r="G1" s="98"/>
    </row>
    <row r="2" spans="1:9" ht="13" thickBot="1">
      <c r="A2" s="99"/>
      <c r="B2" s="100" t="s">
        <v>110</v>
      </c>
      <c r="C2" s="101"/>
      <c r="D2" s="101"/>
      <c r="E2" s="101"/>
      <c r="F2" s="101"/>
      <c r="G2" s="102"/>
    </row>
    <row r="3" spans="1:9">
      <c r="A3" s="99"/>
      <c r="B3" s="92" t="s">
        <v>111</v>
      </c>
      <c r="C3" s="93" t="s">
        <v>112</v>
      </c>
      <c r="D3" s="7"/>
      <c r="E3" s="7"/>
      <c r="F3" s="4"/>
      <c r="G3" s="102"/>
    </row>
    <row r="4" spans="1:9">
      <c r="A4" s="99"/>
      <c r="B4" s="67"/>
      <c r="C4" s="63" t="s">
        <v>113</v>
      </c>
      <c r="D4" s="63">
        <f>(H13/C13)^0.2-1</f>
        <v>0.10116379654429841</v>
      </c>
      <c r="E4" s="63"/>
      <c r="F4" s="68"/>
      <c r="G4" s="102"/>
    </row>
    <row r="5" spans="1:9">
      <c r="A5" s="99"/>
      <c r="B5" s="67"/>
      <c r="C5" s="63" t="s">
        <v>77</v>
      </c>
      <c r="D5" s="63">
        <f>H13*(1+D4)</f>
        <v>3.7439569082506146</v>
      </c>
      <c r="E5" s="63"/>
      <c r="F5" s="68"/>
      <c r="G5" s="102"/>
    </row>
    <row r="6" spans="1:9">
      <c r="A6" s="99"/>
      <c r="B6" s="67"/>
      <c r="C6" s="63" t="s">
        <v>114</v>
      </c>
      <c r="D6" s="63">
        <v>62</v>
      </c>
      <c r="E6" s="63"/>
      <c r="F6" s="68"/>
      <c r="G6" s="102"/>
    </row>
    <row r="7" spans="1:9">
      <c r="A7" s="99"/>
      <c r="B7" s="67"/>
      <c r="C7" s="63"/>
      <c r="D7" s="94"/>
      <c r="E7" s="63"/>
      <c r="F7" s="68"/>
      <c r="G7" s="102"/>
    </row>
    <row r="8" spans="1:9" ht="13" thickBot="1">
      <c r="A8" s="99"/>
      <c r="B8" s="5"/>
      <c r="C8" s="6" t="s">
        <v>115</v>
      </c>
      <c r="D8" s="95">
        <f>(D5/D6)+D4</f>
        <v>0.16155019829027606</v>
      </c>
      <c r="E8" s="6"/>
      <c r="F8" s="69"/>
      <c r="G8" s="102"/>
    </row>
    <row r="9" spans="1:9">
      <c r="A9" s="103"/>
      <c r="B9" s="104"/>
      <c r="C9" s="104"/>
      <c r="D9" s="104"/>
      <c r="E9" s="104"/>
      <c r="F9" s="104"/>
      <c r="G9" s="105"/>
    </row>
    <row r="10" spans="1:9">
      <c r="B10" s="3"/>
      <c r="C10" s="3"/>
    </row>
    <row r="11" spans="1:9" ht="13" thickBot="1">
      <c r="A11" s="2" t="s">
        <v>0</v>
      </c>
    </row>
    <row r="12" spans="1:9">
      <c r="A12" s="13"/>
      <c r="B12" s="7"/>
      <c r="C12" s="14">
        <v>2007</v>
      </c>
      <c r="D12" s="14">
        <v>2008</v>
      </c>
      <c r="E12" s="14">
        <v>2009</v>
      </c>
      <c r="F12" s="14">
        <v>2010</v>
      </c>
      <c r="G12" s="14">
        <v>2011</v>
      </c>
      <c r="H12" s="15">
        <v>2012</v>
      </c>
      <c r="I12" s="1"/>
    </row>
    <row r="13" spans="1:9" ht="13" thickBot="1">
      <c r="A13" s="5" t="s">
        <v>1</v>
      </c>
      <c r="B13" s="6"/>
      <c r="C13" s="16">
        <v>2.1</v>
      </c>
      <c r="D13" s="16">
        <v>2.4500000000000002</v>
      </c>
      <c r="E13" s="16">
        <v>2.65</v>
      </c>
      <c r="F13" s="16">
        <v>2.8</v>
      </c>
      <c r="G13" s="16">
        <v>3.1</v>
      </c>
      <c r="H13" s="17">
        <v>3.4</v>
      </c>
    </row>
    <row r="14" spans="1:9">
      <c r="B14" s="63"/>
      <c r="C14" s="63"/>
      <c r="D14" s="63"/>
      <c r="E14" s="63"/>
      <c r="F14" s="63"/>
      <c r="G14" s="63"/>
      <c r="H14" s="63"/>
    </row>
    <row r="16" spans="1:9">
      <c r="D16" s="106"/>
    </row>
    <row r="17" spans="4:4">
      <c r="D17" s="107"/>
    </row>
    <row r="18" spans="4:4">
      <c r="D18" s="1"/>
    </row>
    <row r="20" spans="4:4">
      <c r="D20" s="73"/>
    </row>
    <row r="23" spans="4:4">
      <c r="D23" s="107"/>
    </row>
    <row r="24" spans="4:4">
      <c r="D24" s="107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"/>
  <sheetViews>
    <sheetView topLeftCell="A51" workbookViewId="0">
      <selection activeCell="G81" sqref="G81"/>
    </sheetView>
  </sheetViews>
  <sheetFormatPr baseColWidth="10" defaultColWidth="11.5" defaultRowHeight="12" x14ac:dyDescent="0"/>
  <cols>
    <col min="3" max="3" width="21.5" customWidth="1"/>
    <col min="6" max="6" width="13.5" customWidth="1"/>
    <col min="7" max="7" width="20.33203125" bestFit="1" customWidth="1"/>
    <col min="8" max="8" width="21.33203125" customWidth="1"/>
    <col min="9" max="10" width="21.5" bestFit="1" customWidth="1"/>
    <col min="13" max="13" width="12" customWidth="1"/>
    <col min="14" max="14" width="11.33203125" customWidth="1"/>
  </cols>
  <sheetData>
    <row r="1" spans="1:14">
      <c r="A1" t="s">
        <v>78</v>
      </c>
      <c r="C1" t="s">
        <v>117</v>
      </c>
      <c r="E1" s="80" t="s">
        <v>80</v>
      </c>
      <c r="I1" s="2" t="s">
        <v>82</v>
      </c>
      <c r="J1" s="2" t="s">
        <v>83</v>
      </c>
      <c r="K1" s="2" t="s">
        <v>84</v>
      </c>
      <c r="L1" s="2" t="s">
        <v>85</v>
      </c>
      <c r="M1" s="2" t="s">
        <v>86</v>
      </c>
      <c r="N1" s="2" t="s">
        <v>87</v>
      </c>
    </row>
    <row r="2" spans="1:14">
      <c r="A2" s="75">
        <v>9.1954022988505191E-3</v>
      </c>
      <c r="C2" s="73">
        <f>'Cost of capital'!F16-'Cost of capital'!G16</f>
        <v>1.54E-2</v>
      </c>
      <c r="E2" s="79">
        <f>AVERAGE(C2:C115)</f>
        <v>1.1703508771929822E-2</v>
      </c>
      <c r="H2" s="2" t="str">
        <f>TEXT('Cost of capital'!A17,"mmm yyyy")&amp;" - "&amp;TEXT('Cost of capital'!A64,"mmm yyyy")</f>
        <v>Nov 2012 - Dec 2008</v>
      </c>
      <c r="I2">
        <f>SLOPE('Cost of capital'!B17:B64, 'Cost of capital'!$F17:'Cost of capital'!$F64)</f>
        <v>3.0978237852638934E-2</v>
      </c>
      <c r="J2">
        <f>SLOPE('Cost of capital'!C17:C64, 'Cost of capital'!$F17:'Cost of capital'!$F64)</f>
        <v>-4.2539535470117927E-2</v>
      </c>
      <c r="K2">
        <f>SLOPE('Cost of capital'!D17:D64, 'Cost of capital'!$F17:'Cost of capital'!$F64)</f>
        <v>0.22298085455223199</v>
      </c>
      <c r="L2">
        <f>SLOPE('Cost of capital'!E17:E64, 'Cost of capital'!$F17:'Cost of capital'!$F64)</f>
        <v>-0.16328881343883406</v>
      </c>
      <c r="M2">
        <f>SLOPE('Cost of capital'!F17:F64, 'Cost of capital'!$F17:'Cost of capital'!$F64)</f>
        <v>1</v>
      </c>
      <c r="N2">
        <f>SLOPE('Cost of capital'!G17:G64,'Cost of capital'!F17:F64)</f>
        <v>-3.0140293630316595E-3</v>
      </c>
    </row>
    <row r="3" spans="1:14">
      <c r="A3" s="76">
        <v>-8.2278481012658222E-2</v>
      </c>
      <c r="C3" s="73">
        <f>'Cost of capital'!F17-'Cost of capital'!G17</f>
        <v>2.0899999999999998E-2</v>
      </c>
      <c r="E3" t="s">
        <v>81</v>
      </c>
      <c r="H3" s="2" t="str">
        <f>TEXT('Cost of capital'!A18,"mmm yyyy")&amp;" - "&amp;TEXT('Cost of capital'!A65,"mmm yyyy")</f>
        <v>Oct 2012 - Nov 2008</v>
      </c>
      <c r="I3">
        <f>SLOPE('Cost of capital'!B18:B65, 'Cost of capital'!F18:'Cost of capital'!F65)</f>
        <v>6.4472336052814438E-2</v>
      </c>
      <c r="J3">
        <f>SLOPE('Cost of capital'!C18:C65, 'Cost of capital'!$F18:'Cost of capital'!$F65)</f>
        <v>-2.535109164419708E-2</v>
      </c>
      <c r="K3">
        <f>SLOPE('Cost of capital'!D18:D65, 'Cost of capital'!$F18:'Cost of capital'!$F65)</f>
        <v>0.27730328982150898</v>
      </c>
      <c r="L3">
        <f>SLOPE('Cost of capital'!E18:E65, 'Cost of capital'!$F18:'Cost of capital'!$F65)</f>
        <v>-0.10259462261447547</v>
      </c>
      <c r="M3">
        <f>SLOPE('Cost of capital'!F18:F65, 'Cost of capital'!$F18:'Cost of capital'!$F65)</f>
        <v>1</v>
      </c>
      <c r="N3">
        <f>SLOPE('Cost of capital'!G18:G65,'Cost of capital'!F18:F65)</f>
        <v>-3.4288463163099454E-3</v>
      </c>
    </row>
    <row r="4" spans="1:14">
      <c r="A4" s="76">
        <v>8.6799868981329853E-2</v>
      </c>
      <c r="C4" s="73">
        <f>'Cost of capital'!F18-'Cost of capital'!G18</f>
        <v>-2.2000000000000001E-3</v>
      </c>
      <c r="E4" s="73">
        <v>4.0000000000000001E-3</v>
      </c>
      <c r="H4" s="2" t="str">
        <f>TEXT('Cost of capital'!A19,"mmm yyyy")&amp;" - "&amp;TEXT('Cost of capital'!A66,"mmm yyyy")</f>
        <v>Sep 2012 - Oct 2008</v>
      </c>
      <c r="I4">
        <f>SLOPE('Cost of capital'!B19:B66, 'Cost of capital'!F19:'Cost of capital'!F66)</f>
        <v>1.2299594179805595E-2</v>
      </c>
      <c r="J4">
        <f>SLOPE('Cost of capital'!C19:C66, 'Cost of capital'!$F19:'Cost of capital'!$F66)</f>
        <v>5.5647055113324684E-2</v>
      </c>
      <c r="K4">
        <f>SLOPE('Cost of capital'!D19:D66, 'Cost of capital'!$F19:'Cost of capital'!$F66)</f>
        <v>9.8672310331482202E-2</v>
      </c>
      <c r="L4">
        <f>SLOPE('Cost of capital'!E19:E66, 'Cost of capital'!$F19:'Cost of capital'!$F66)</f>
        <v>-0.43802186957879874</v>
      </c>
      <c r="M4">
        <f>SLOPE('Cost of capital'!F19:F66, 'Cost of capital'!$F19:'Cost of capital'!$F66)</f>
        <v>1</v>
      </c>
      <c r="N4">
        <f>SLOPE('Cost of capital'!G19:G66,'Cost of capital'!F19:F66)</f>
        <v>-1.6106066808780632E-3</v>
      </c>
    </row>
    <row r="5" spans="1:14">
      <c r="A5" s="76">
        <v>4.055896387184732E-2</v>
      </c>
      <c r="C5" s="73">
        <f>'Cost of capital'!F19-'Cost of capital'!G19</f>
        <v>-3.5999999999999999E-3</v>
      </c>
      <c r="H5" s="2" t="str">
        <f>TEXT('Cost of capital'!A20,"mmm yyyy")&amp;" - "&amp;TEXT('Cost of capital'!A67,"mmm yyyy")</f>
        <v>Aug 2012 - Sep 2008</v>
      </c>
      <c r="I5">
        <f>SLOPE('Cost of capital'!B20:B67, 'Cost of capital'!F20:'Cost of capital'!F67)</f>
        <v>0.34260964547542622</v>
      </c>
      <c r="J5">
        <f>SLOPE('Cost of capital'!C20:C67, 'Cost of capital'!$F20:'Cost of capital'!$F67)</f>
        <v>0.26365132081219461</v>
      </c>
      <c r="K5">
        <f>SLOPE('Cost of capital'!D20:D67, 'Cost of capital'!$F20:'Cost of capital'!$F67)</f>
        <v>0.12954772619720334</v>
      </c>
      <c r="L5">
        <f>SLOPE('Cost of capital'!E20:E67, 'Cost of capital'!$F20:'Cost of capital'!$F67)</f>
        <v>-0.22924765131133079</v>
      </c>
      <c r="M5">
        <f>SLOPE('Cost of capital'!F20:F67, 'Cost of capital'!$F20:'Cost of capital'!$F67)</f>
        <v>1</v>
      </c>
      <c r="N5">
        <f>SLOPE('Cost of capital'!G20:G67,'Cost of capital'!F20:F67)</f>
        <v>-2.2082111189334282E-4</v>
      </c>
    </row>
    <row r="6" spans="1:14">
      <c r="A6" s="76">
        <v>-3.2959789057350086E-2</v>
      </c>
      <c r="C6" s="73">
        <f>'Cost of capital'!F20-'Cost of capital'!G20</f>
        <v>2.6700000000000002E-2</v>
      </c>
      <c r="H6" s="2" t="str">
        <f>TEXT('Cost of capital'!A21,"mmm yyyy")&amp;" - "&amp;TEXT('Cost of capital'!A68,"mmm yyyy")</f>
        <v>Jul 2012 - Aug 2008</v>
      </c>
      <c r="I6">
        <f>SLOPE('Cost of capital'!B21:B68, 'Cost of capital'!F21:'Cost of capital'!F68)</f>
        <v>0.41758372351406797</v>
      </c>
      <c r="J6">
        <f>SLOPE('Cost of capital'!C21:C68, 'Cost of capital'!$F21:'Cost of capital'!$F68)</f>
        <v>0.30789662308959792</v>
      </c>
      <c r="K6">
        <f>SLOPE('Cost of capital'!D21:D68, 'Cost of capital'!$F21:'Cost of capital'!$F68)</f>
        <v>0.19042474038541835</v>
      </c>
      <c r="L6">
        <f>SLOPE('Cost of capital'!E21:E68, 'Cost of capital'!$F21:'Cost of capital'!$F68)</f>
        <v>-0.17595826892163668</v>
      </c>
      <c r="M6">
        <f>SLOPE('Cost of capital'!F21:F68, 'Cost of capital'!$F21:'Cost of capital'!$F68)</f>
        <v>1</v>
      </c>
      <c r="N6">
        <f>SLOPE('Cost of capital'!G21:G68,'Cost of capital'!F21:F68)</f>
        <v>-9.9456875292314672E-4</v>
      </c>
    </row>
    <row r="7" spans="1:14">
      <c r="A7" s="76">
        <v>7.9734219269103068E-3</v>
      </c>
      <c r="C7" s="73">
        <f>'Cost of capital'!F21-'Cost of capital'!G21</f>
        <v>9.3999999999999986E-3</v>
      </c>
      <c r="H7" s="2" t="str">
        <f>TEXT('Cost of capital'!A22,"mmm yyyy")&amp;" - "&amp;TEXT('Cost of capital'!A69,"mmm yyyy")</f>
        <v>Jun 2012 - Jul 2008</v>
      </c>
      <c r="I7">
        <f>SLOPE('Cost of capital'!B22:B69, 'Cost of capital'!F22:'Cost of capital'!F69)</f>
        <v>0.30822533546544834</v>
      </c>
      <c r="J7">
        <f>SLOPE('Cost of capital'!C22:C69, 'Cost of capital'!$F22:'Cost of capital'!$F69)</f>
        <v>0.25199240021748659</v>
      </c>
      <c r="K7">
        <f>SLOPE('Cost of capital'!D22:D69, 'Cost of capital'!$F22:'Cost of capital'!$F69)</f>
        <v>0.22190241815976344</v>
      </c>
      <c r="L7">
        <f>SLOPE('Cost of capital'!E22:E69, 'Cost of capital'!$F22:'Cost of capital'!$F69)</f>
        <v>0.15793783762821553</v>
      </c>
      <c r="M7">
        <f>SLOPE('Cost of capital'!F22:F69, 'Cost of capital'!$F22:'Cost of capital'!$F69)</f>
        <v>1</v>
      </c>
      <c r="N7">
        <f>SLOPE('Cost of capital'!G22:G69,'Cost of capital'!F22:F69)</f>
        <v>-8.8788387497332948E-4</v>
      </c>
    </row>
    <row r="8" spans="1:14">
      <c r="A8" s="76">
        <v>0.11895910780669161</v>
      </c>
      <c r="C8" s="73">
        <f>'Cost of capital'!F22-'Cost of capital'!G22</f>
        <v>1.5399999999999999E-2</v>
      </c>
      <c r="H8" s="2" t="str">
        <f>TEXT('Cost of capital'!A23,"mmm yyyy")&amp;" - "&amp;TEXT('Cost of capital'!A70,"mmm yyyy")</f>
        <v>May 2012 - Jun 2008</v>
      </c>
      <c r="I8">
        <f>SLOPE('Cost of capital'!B23:B70, 'Cost of capital'!F23:'Cost of capital'!F70)</f>
        <v>0.32740650894921786</v>
      </c>
      <c r="J8">
        <f>SLOPE('Cost of capital'!C23:C70, 'Cost of capital'!$F23:'Cost of capital'!$F70)</f>
        <v>0.22108400259267183</v>
      </c>
      <c r="K8">
        <f>SLOPE('Cost of capital'!D23:D70, 'Cost of capital'!$F23:'Cost of capital'!$F70)</f>
        <v>0.10999262188567287</v>
      </c>
      <c r="L8">
        <f>SLOPE('Cost of capital'!E23:E70, 'Cost of capital'!$F23:'Cost of capital'!$F70)</f>
        <v>4.5410879435567729E-2</v>
      </c>
      <c r="M8">
        <f>SLOPE('Cost of capital'!F23:F70, 'Cost of capital'!$F23:'Cost of capital'!$F70)</f>
        <v>1</v>
      </c>
      <c r="N8">
        <f>SLOPE('Cost of capital'!G23:G70,'Cost of capital'!F23:F70)</f>
        <v>-1.2629583355842943E-3</v>
      </c>
    </row>
    <row r="9" spans="1:14">
      <c r="A9" s="76">
        <v>-4.8094709581947281E-3</v>
      </c>
      <c r="C9" s="73">
        <f>'Cost of capital'!F23-'Cost of capital'!G23</f>
        <v>-1.8000000000000002E-3</v>
      </c>
      <c r="H9" s="2" t="str">
        <f>TEXT('Cost of capital'!A24,"mmm yyyy")&amp;" - "&amp;TEXT('Cost of capital'!A71,"mmm yyyy")</f>
        <v>Apr 2012 - May 2008</v>
      </c>
      <c r="I9">
        <f>SLOPE('Cost of capital'!B24:B71, 'Cost of capital'!F24:'Cost of capital'!F71)</f>
        <v>0.31043253301644769</v>
      </c>
      <c r="J9">
        <f>SLOPE('Cost of capital'!C24:C71, 'Cost of capital'!$F24:'Cost of capital'!$F71)</f>
        <v>0.15504821796756105</v>
      </c>
      <c r="K9">
        <f>SLOPE('Cost of capital'!D24:D71, 'Cost of capital'!$F24:'Cost of capital'!$F71)</f>
        <v>7.9612852808803064E-2</v>
      </c>
      <c r="L9">
        <f>SLOPE('Cost of capital'!E24:E71, 'Cost of capital'!$F24:'Cost of capital'!$F71)</f>
        <v>2.4253083618379384E-2</v>
      </c>
      <c r="M9">
        <f>SLOPE('Cost of capital'!F24:F71, 'Cost of capital'!$F24:'Cost of capital'!$F71)</f>
        <v>1</v>
      </c>
      <c r="N9">
        <f>SLOPE('Cost of capital'!G24:G71,'Cost of capital'!F24:F71)</f>
        <v>-8.2170216349682654E-4</v>
      </c>
    </row>
    <row r="10" spans="1:14">
      <c r="A10" s="76">
        <v>-0.13002896684905052</v>
      </c>
      <c r="C10" s="73">
        <f>'Cost of capital'!F24-'Cost of capital'!G24</f>
        <v>3.6599999999999994E-2</v>
      </c>
      <c r="H10" s="2" t="str">
        <f>TEXT('Cost of capital'!A25,"mmm yyyy")&amp;" - "&amp;TEXT('Cost of capital'!A72,"mmm yyyy")</f>
        <v>Mar 2012 - Apr 2008</v>
      </c>
      <c r="I10">
        <f>SLOPE('Cost of capital'!B25:B72, 'Cost of capital'!F25:'Cost of capital'!F72)</f>
        <v>0.36345912112263135</v>
      </c>
      <c r="J10">
        <f>SLOPE('Cost of capital'!C25:C72, 'Cost of capital'!$F25:'Cost of capital'!$F72)</f>
        <v>0.13988086960429996</v>
      </c>
      <c r="K10">
        <f>SLOPE('Cost of capital'!D25:D72, 'Cost of capital'!$F25:'Cost of capital'!$F72)</f>
        <v>0.12421399546840105</v>
      </c>
      <c r="L10">
        <f>SLOPE('Cost of capital'!E25:E72, 'Cost of capital'!$F25:'Cost of capital'!$F72)</f>
        <v>6.593001721409468E-2</v>
      </c>
      <c r="M10">
        <f>SLOPE('Cost of capital'!F25:F72, 'Cost of capital'!$F25:'Cost of capital'!$F72)</f>
        <v>1</v>
      </c>
      <c r="N10">
        <f>SLOPE('Cost of capital'!G25:G72,'Cost of capital'!F25:F72)</f>
        <v>-1.8071684458599426E-3</v>
      </c>
    </row>
    <row r="11" spans="1:14">
      <c r="A11" s="76">
        <v>0.12899709302325579</v>
      </c>
      <c r="C11" s="73">
        <f>'Cost of capital'!F25-'Cost of capital'!G25</f>
        <v>2.9999999999999992E-4</v>
      </c>
      <c r="H11" s="2" t="str">
        <f>TEXT('Cost of capital'!A26,"mmm yyyy")&amp;" - "&amp;TEXT('Cost of capital'!A73,"mmm yyyy")</f>
        <v>Feb 2012 - Mar 2008</v>
      </c>
      <c r="I11">
        <f>SLOPE('Cost of capital'!B26:B73, 'Cost of capital'!F26:'Cost of capital'!F73)</f>
        <v>0.38306211487288488</v>
      </c>
      <c r="J11">
        <f>SLOPE('Cost of capital'!C26:C73, 'Cost of capital'!$F26:'Cost of capital'!$F73)</f>
        <v>0.13978152227597568</v>
      </c>
      <c r="K11">
        <f>SLOPE('Cost of capital'!D26:D73, 'Cost of capital'!$F26:'Cost of capital'!$F73)</f>
        <v>0.11052361329501277</v>
      </c>
      <c r="L11">
        <f>SLOPE('Cost of capital'!E26:E73, 'Cost of capital'!$F26:'Cost of capital'!$F73)</f>
        <v>4.7419534120873352E-2</v>
      </c>
      <c r="M11">
        <f>SLOPE('Cost of capital'!F26:F73, 'Cost of capital'!$F26:'Cost of capital'!$F73)</f>
        <v>1</v>
      </c>
      <c r="N11">
        <f>SLOPE('Cost of capital'!G26:G73,'Cost of capital'!F26:F73)</f>
        <v>-1.5837446664098648E-3</v>
      </c>
    </row>
    <row r="12" spans="1:14">
      <c r="A12" s="76">
        <v>4.7184170471841647E-2</v>
      </c>
      <c r="C12" s="73">
        <f>'Cost of capital'!F26-'Cost of capital'!G26</f>
        <v>3.73E-2</v>
      </c>
      <c r="H12" s="2" t="str">
        <f>TEXT('Cost of capital'!A27,"mmm yyyy")&amp;" - "&amp;TEXT('Cost of capital'!A74,"mmm yyyy")</f>
        <v>Jan 2012 - Feb 2008</v>
      </c>
      <c r="I12">
        <f>SLOPE('Cost of capital'!B27:B74, 'Cost of capital'!F27:'Cost of capital'!F74)</f>
        <v>0.38606517949174013</v>
      </c>
      <c r="J12">
        <f>SLOPE('Cost of capital'!C27:C74, 'Cost of capital'!$F27:'Cost of capital'!$F74)</f>
        <v>9.3032815547605008E-2</v>
      </c>
      <c r="K12">
        <f>SLOPE('Cost of capital'!D27:D74, 'Cost of capital'!$F27:'Cost of capital'!$F74)</f>
        <v>0.18890311221913147</v>
      </c>
      <c r="L12">
        <f>SLOPE('Cost of capital'!E27:E74, 'Cost of capital'!$F27:'Cost of capital'!$F74)</f>
        <v>0.31727272663044614</v>
      </c>
      <c r="M12">
        <f>SLOPE('Cost of capital'!F27:F74, 'Cost of capital'!$F27:'Cost of capital'!$F74)</f>
        <v>1</v>
      </c>
      <c r="N12">
        <f>SLOPE('Cost of capital'!G27:G74,'Cost of capital'!F27:F74)</f>
        <v>-1.9279314295504071E-3</v>
      </c>
    </row>
    <row r="13" spans="1:14">
      <c r="A13" s="76">
        <v>5.7971014492753659E-2</v>
      </c>
      <c r="C13" s="73">
        <f>'Cost of capital'!F27-'Cost of capital'!G27</f>
        <v>-2.35E-2</v>
      </c>
      <c r="H13" s="2" t="str">
        <f>TEXT('Cost of capital'!A28,"mmm yyyy")&amp;" - "&amp;TEXT('Cost of capital'!A75,"mmm yyyy")</f>
        <v>Dec 2011 - Jan 2008</v>
      </c>
      <c r="I13">
        <f>SLOPE('Cost of capital'!B28:B75, 'Cost of capital'!F28:'Cost of capital'!F75)</f>
        <v>0.40333515378474427</v>
      </c>
      <c r="J13">
        <f>SLOPE('Cost of capital'!C28:C75, 'Cost of capital'!$F28:'Cost of capital'!$F75)</f>
        <v>8.4203627013009083E-2</v>
      </c>
      <c r="K13">
        <f>SLOPE('Cost of capital'!D28:D75, 'Cost of capital'!$F28:'Cost of capital'!$F75)</f>
        <v>0.25583082316197708</v>
      </c>
      <c r="L13">
        <f>SLOPE('Cost of capital'!E28:E75, 'Cost of capital'!$F28:'Cost of capital'!$F75)</f>
        <v>0.30504984974787841</v>
      </c>
      <c r="M13">
        <f>SLOPE('Cost of capital'!F28:F75, 'Cost of capital'!$F28:'Cost of capital'!$F75)</f>
        <v>1</v>
      </c>
      <c r="N13">
        <f>SLOPE('Cost of capital'!G28:G75,'Cost of capital'!F28:F75)</f>
        <v>-1.0307795882128652E-3</v>
      </c>
    </row>
    <row r="14" spans="1:14">
      <c r="A14" s="76">
        <v>-0.13055652782639138</v>
      </c>
      <c r="C14" s="73">
        <f>'Cost of capital'!F28-'Cost of capital'!G28</f>
        <v>7.7000000000000002E-3</v>
      </c>
      <c r="H14" s="2" t="str">
        <f>TEXT('Cost of capital'!A29,"mmm yyyy")&amp;" - "&amp;TEXT('Cost of capital'!A76,"mmm yyyy")</f>
        <v>Nov 2011 - Dec 2007</v>
      </c>
      <c r="I14">
        <f>SLOPE('Cost of capital'!B29:B76, 'Cost of capital'!F29:'Cost of capital'!F76)</f>
        <v>0.50684185284308481</v>
      </c>
      <c r="J14">
        <f>SLOPE('Cost of capital'!C29:C76, 'Cost of capital'!$F29:'Cost of capital'!$F76)</f>
        <v>0.1233968783999054</v>
      </c>
      <c r="K14">
        <f>SLOPE('Cost of capital'!D29:D76, 'Cost of capital'!$F29:'Cost of capital'!$F76)</f>
        <v>-2.8223913694113641E-2</v>
      </c>
      <c r="L14">
        <f>SLOPE('Cost of capital'!E29:E76, 'Cost of capital'!$F29:'Cost of capital'!$F76)</f>
        <v>0.32864482088583274</v>
      </c>
      <c r="M14">
        <f>SLOPE('Cost of capital'!F29:F76, 'Cost of capital'!$F29:'Cost of capital'!$F76)</f>
        <v>1</v>
      </c>
      <c r="N14">
        <f>SLOPE('Cost of capital'!G29:G76,'Cost of capital'!F29:F76)</f>
        <v>-2.908116555602342E-3</v>
      </c>
    </row>
    <row r="15" spans="1:14">
      <c r="A15" s="76">
        <v>0.10779371849554087</v>
      </c>
      <c r="C15" s="73">
        <f>'Cost of capital'!F29-'Cost of capital'!G29</f>
        <v>-8.8999999999999999E-3</v>
      </c>
      <c r="H15" s="2" t="str">
        <f>TEXT('Cost of capital'!A30,"mmm yyyy")&amp;" - "&amp;TEXT('Cost of capital'!A77,"mmm yyyy")</f>
        <v>Oct 2011 - Nov 2007</v>
      </c>
      <c r="I15">
        <f>SLOPE('Cost of capital'!B30:B77, 'Cost of capital'!F30:'Cost of capital'!F77)</f>
        <v>0.43683955101072436</v>
      </c>
      <c r="J15">
        <f>SLOPE('Cost of capital'!C30:C77, 'Cost of capital'!$F30:'Cost of capital'!$F77)</f>
        <v>0.20836945601336945</v>
      </c>
      <c r="K15">
        <f>SLOPE('Cost of capital'!D30:D77, 'Cost of capital'!$F30:'Cost of capital'!$F77)</f>
        <v>4.5473142249356162E-2</v>
      </c>
      <c r="L15">
        <f>SLOPE('Cost of capital'!E30:E77, 'Cost of capital'!$F30:'Cost of capital'!$F77)</f>
        <v>0.50419774600022993</v>
      </c>
      <c r="M15">
        <f>SLOPE('Cost of capital'!F30:F77, 'Cost of capital'!$F30:'Cost of capital'!$F77)</f>
        <v>1</v>
      </c>
      <c r="N15">
        <f>SLOPE('Cost of capital'!G30:G77,'Cost of capital'!F30:F77)</f>
        <v>-3.9598424307831634E-3</v>
      </c>
    </row>
    <row r="16" spans="1:14">
      <c r="A16" s="76">
        <v>7.0124481327800803E-2</v>
      </c>
      <c r="C16" s="73">
        <f>'Cost of capital'!F30-'Cost of capital'!G30</f>
        <v>4.0899999999999999E-2</v>
      </c>
      <c r="H16" s="2" t="str">
        <f>TEXT('Cost of capital'!A31,"mmm yyyy")&amp;" - "&amp;TEXT('Cost of capital'!A78,"mmm yyyy")</f>
        <v>Sep 2011 - Oct 2007</v>
      </c>
      <c r="I16">
        <f>SLOPE('Cost of capital'!B31:B78, 'Cost of capital'!F31:'Cost of capital'!F78)</f>
        <v>0.39414842469630806</v>
      </c>
      <c r="J16">
        <f>SLOPE('Cost of capital'!C31:C78, 'Cost of capital'!$F31:'Cost of capital'!$F78)</f>
        <v>0.1634408143101061</v>
      </c>
      <c r="K16">
        <f>SLOPE('Cost of capital'!D31:D78, 'Cost of capital'!$F31:'Cost of capital'!$F78)</f>
        <v>7.6779698887824654E-2</v>
      </c>
      <c r="L16">
        <f>SLOPE('Cost of capital'!E31:E78, 'Cost of capital'!$F31:'Cost of capital'!$F78)</f>
        <v>0.51680861167390579</v>
      </c>
      <c r="M16">
        <f>SLOPE('Cost of capital'!F31:F78, 'Cost of capital'!$F31:'Cost of capital'!$F78)</f>
        <v>1</v>
      </c>
      <c r="N16">
        <f>SLOPE('Cost of capital'!G31:G78,'Cost of capital'!F31:F78)</f>
        <v>-5.0288446848170618E-3</v>
      </c>
    </row>
    <row r="17" spans="1:14">
      <c r="A17" s="76">
        <v>-2.1121039805036546E-2</v>
      </c>
      <c r="C17" s="73">
        <f>'Cost of capital'!F31-'Cost of capital'!G31</f>
        <v>9.1999999999999998E-3</v>
      </c>
      <c r="H17" s="2" t="str">
        <f>TEXT('Cost of capital'!A32,"mmm yyyy")&amp;" - "&amp;TEXT('Cost of capital'!A79,"mmm yyyy")</f>
        <v>Aug 2011 - Sep 2007</v>
      </c>
      <c r="I17">
        <f>SLOPE('Cost of capital'!B32:B79, 'Cost of capital'!F32:'Cost of capital'!F79)</f>
        <v>0.40308946053378186</v>
      </c>
      <c r="J17">
        <f>SLOPE('Cost of capital'!C32:C79, 'Cost of capital'!$F32:'Cost of capital'!$F79)</f>
        <v>0.17575411439889282</v>
      </c>
      <c r="K17">
        <f>SLOPE('Cost of capital'!D32:D79, 'Cost of capital'!$F32:'Cost of capital'!$F79)</f>
        <v>9.2714030493960431E-2</v>
      </c>
      <c r="L17">
        <f>SLOPE('Cost of capital'!E32:E79, 'Cost of capital'!$F32:'Cost of capital'!$F79)</f>
        <v>0.54265041141555781</v>
      </c>
      <c r="M17">
        <f>SLOPE('Cost of capital'!F32:F79, 'Cost of capital'!$F32:'Cost of capital'!$F79)</f>
        <v>1</v>
      </c>
      <c r="N17">
        <f>SLOPE('Cost of capital'!G32:G79,'Cost of capital'!F32:F79)</f>
        <v>-5.4994619946040412E-3</v>
      </c>
    </row>
    <row r="18" spans="1:14">
      <c r="A18" s="76">
        <v>8.8898717381689529E-2</v>
      </c>
      <c r="C18" s="73">
        <f>'Cost of capital'!F32-'Cost of capital'!G32</f>
        <v>3.5499999999999997E-2</v>
      </c>
      <c r="H18" s="2" t="str">
        <f>TEXT('Cost of capital'!A33,"mmm yyyy")&amp;" - "&amp;TEXT('Cost of capital'!A80,"mmm yyyy")</f>
        <v>Jul 2011 - Aug 2007</v>
      </c>
      <c r="I18">
        <f>SLOPE('Cost of capital'!B33:B80, 'Cost of capital'!F33:'Cost of capital'!F80)</f>
        <v>0.37370858444606586</v>
      </c>
      <c r="J18">
        <f>SLOPE('Cost of capital'!C33:C80, 'Cost of capital'!$F33:'Cost of capital'!$F80)</f>
        <v>0.17100717837286161</v>
      </c>
      <c r="K18">
        <f>SLOPE('Cost of capital'!D33:D80, 'Cost of capital'!$F33:'Cost of capital'!$F80)</f>
        <v>0.10024332786917517</v>
      </c>
      <c r="L18">
        <f>SLOPE('Cost of capital'!E33:E80, 'Cost of capital'!$F33:'Cost of capital'!$F80)</f>
        <v>0.51757540709973526</v>
      </c>
      <c r="M18">
        <f>SLOPE('Cost of capital'!F33:F80, 'Cost of capital'!$F33:'Cost of capital'!$F80)</f>
        <v>1</v>
      </c>
      <c r="N18">
        <f>SLOPE('Cost of capital'!G33:G80,'Cost of capital'!F33:F80)</f>
        <v>-5.8935443403479431E-3</v>
      </c>
    </row>
    <row r="19" spans="1:14">
      <c r="A19" s="76">
        <v>3.4782608695651973E-2</v>
      </c>
      <c r="C19" s="73">
        <f>'Cost of capital'!F33-'Cost of capital'!G33</f>
        <v>-2.7300000000000001E-2</v>
      </c>
      <c r="H19" s="2" t="str">
        <f>TEXT('Cost of capital'!A34,"mmm yyyy")&amp;" - "&amp;TEXT('Cost of capital'!A81,"mmm yyyy")</f>
        <v>Jun 2011 - Jul 2007</v>
      </c>
      <c r="I19">
        <f>SLOPE('Cost of capital'!B34:B81, 'Cost of capital'!F34:'Cost of capital'!F81)</f>
        <v>0.36634545558567067</v>
      </c>
      <c r="J19">
        <f>SLOPE('Cost of capital'!C34:C81, 'Cost of capital'!$F34:'Cost of capital'!$F81)</f>
        <v>0.19683511424467781</v>
      </c>
      <c r="K19">
        <f>SLOPE('Cost of capital'!D34:D81, 'Cost of capital'!$F34:'Cost of capital'!$F81)</f>
        <v>7.0418247903066652E-2</v>
      </c>
      <c r="L19">
        <f>SLOPE('Cost of capital'!E34:E81, 'Cost of capital'!$F34:'Cost of capital'!$F81)</f>
        <v>0.47719249504882982</v>
      </c>
      <c r="M19">
        <f>SLOPE('Cost of capital'!F34:F81, 'Cost of capital'!$F34:'Cost of capital'!$F81)</f>
        <v>1</v>
      </c>
      <c r="N19">
        <f>SLOPE('Cost of capital'!G34:G81,'Cost of capital'!F34:F81)</f>
        <v>-2.9597719395172005E-3</v>
      </c>
    </row>
    <row r="20" spans="1:14">
      <c r="A20" s="76">
        <v>-6.8230277185501009E-2</v>
      </c>
      <c r="C20" s="73">
        <f>'Cost of capital'!F34-'Cost of capital'!G34</f>
        <v>-1.9E-2</v>
      </c>
      <c r="H20" s="2" t="str">
        <f>TEXT('Cost of capital'!A35,"mmm yyyy")&amp;" - "&amp;TEXT('Cost of capital'!A82,"mmm yyyy")</f>
        <v>May 2011 - Jun 2007</v>
      </c>
      <c r="I20">
        <f>SLOPE('Cost of capital'!B35:B82, 'Cost of capital'!F35:'Cost of capital'!F82)</f>
        <v>0.20337103212870336</v>
      </c>
      <c r="J20">
        <f>SLOPE('Cost of capital'!C35:C82, 'Cost of capital'!$F35:'Cost of capital'!$F82)</f>
        <v>1.480682271224875E-2</v>
      </c>
      <c r="K20">
        <f>SLOPE('Cost of capital'!D35:D82, 'Cost of capital'!$F35:'Cost of capital'!$F82)</f>
        <v>-0.15823520363869095</v>
      </c>
      <c r="L20">
        <f>SLOPE('Cost of capital'!E35:E82, 'Cost of capital'!$F35:'Cost of capital'!$F82)</f>
        <v>0.4979053744694979</v>
      </c>
      <c r="M20">
        <f>SLOPE('Cost of capital'!F35:F82, 'Cost of capital'!$F35:'Cost of capital'!$F82)</f>
        <v>1</v>
      </c>
      <c r="N20">
        <f>SLOPE('Cost of capital'!G35:G82,'Cost of capital'!F35:F82)</f>
        <v>-5.238837659574511E-3</v>
      </c>
    </row>
    <row r="21" spans="1:14">
      <c r="A21" s="76">
        <v>-3.7751333606893756E-2</v>
      </c>
      <c r="C21" s="73">
        <f>'Cost of capital'!F35-'Cost of capital'!G35</f>
        <v>2.1099999999999997E-2</v>
      </c>
      <c r="H21" s="2" t="str">
        <f>TEXT('Cost of capital'!A36,"mmm yyyy")&amp;" - "&amp;TEXT('Cost of capital'!A83,"mmm yyyy")</f>
        <v>Apr 2011 - May 2007</v>
      </c>
      <c r="I21">
        <f>SLOPE('Cost of capital'!B36:B83, 'Cost of capital'!F36:'Cost of capital'!F83)</f>
        <v>0.3313904628094464</v>
      </c>
      <c r="J21">
        <f>SLOPE('Cost of capital'!C36:C83, 'Cost of capital'!$F36:'Cost of capital'!$F83)</f>
        <v>0.15963140775126361</v>
      </c>
      <c r="K21">
        <f>SLOPE('Cost of capital'!D36:D83, 'Cost of capital'!$F36:'Cost of capital'!$F83)</f>
        <v>-9.4545866530853978E-2</v>
      </c>
      <c r="L21">
        <f>SLOPE('Cost of capital'!E36:E83, 'Cost of capital'!$F36:'Cost of capital'!$F83)</f>
        <v>0.5541699904286701</v>
      </c>
      <c r="M21">
        <f>SLOPE('Cost of capital'!F36:F83, 'Cost of capital'!$F36:'Cost of capital'!$F83)</f>
        <v>1</v>
      </c>
      <c r="N21">
        <f>SLOPE('Cost of capital'!G36:G83,'Cost of capital'!F36:F83)</f>
        <v>-7.2677730527102432E-3</v>
      </c>
    </row>
    <row r="22" spans="1:14">
      <c r="A22" s="76">
        <v>0.13878504672897218</v>
      </c>
      <c r="C22" s="73">
        <f>'Cost of capital'!F36-'Cost of capital'!G36</f>
        <v>-2.8199999999999999E-2</v>
      </c>
      <c r="H22" s="2" t="str">
        <f>TEXT('Cost of capital'!A37,"mmm yyyy")&amp;" - "&amp;TEXT('Cost of capital'!A84,"mmm yyyy")</f>
        <v>Mar 2011 - Apr 2007</v>
      </c>
      <c r="I22">
        <f>SLOPE('Cost of capital'!B37:B84, 'Cost of capital'!F37:'Cost of capital'!F84)</f>
        <v>0.38424317920254514</v>
      </c>
      <c r="J22">
        <f>SLOPE('Cost of capital'!C37:C84, 'Cost of capital'!$F37:'Cost of capital'!$F84)</f>
        <v>0.16843798655342776</v>
      </c>
      <c r="K22">
        <f>SLOPE('Cost of capital'!D37:D84, 'Cost of capital'!$F37:'Cost of capital'!$F84)</f>
        <v>-0.13441409981399477</v>
      </c>
      <c r="L22">
        <f>SLOPE('Cost of capital'!E37:E84, 'Cost of capital'!$F37:'Cost of capital'!$F84)</f>
        <v>0.64618149306941608</v>
      </c>
      <c r="M22">
        <f>SLOPE('Cost of capital'!F37:F84, 'Cost of capital'!$F37:'Cost of capital'!$F84)</f>
        <v>1</v>
      </c>
      <c r="N22">
        <f>SLOPE('Cost of capital'!G37:G84,'Cost of capital'!F37:F84)</f>
        <v>-5.9453629779185257E-3</v>
      </c>
    </row>
    <row r="23" spans="1:14">
      <c r="A23" s="76">
        <v>-9.7427245887811154E-2</v>
      </c>
      <c r="C23" s="73">
        <f>'Cost of capital'!F37-'Cost of capital'!G37</f>
        <v>3.3599999999999998E-2</v>
      </c>
      <c r="H23" s="2" t="str">
        <f>TEXT('Cost of capital'!A38,"mmm yyyy")&amp;" - "&amp;TEXT('Cost of capital'!A85,"mmm yyyy")</f>
        <v>Feb 2011 - Mar 2007</v>
      </c>
      <c r="I23">
        <f>SLOPE('Cost of capital'!B38:B85, 'Cost of capital'!F38:'Cost of capital'!F85)</f>
        <v>0.40919945726629897</v>
      </c>
      <c r="J23">
        <f>SLOPE('Cost of capital'!C38:C85, 'Cost of capital'!$F38:'Cost of capital'!$F85)</f>
        <v>0.13677548499185693</v>
      </c>
      <c r="K23">
        <f>SLOPE('Cost of capital'!D38:D85, 'Cost of capital'!$F38:'Cost of capital'!$F85)</f>
        <v>-7.5163772129937231E-2</v>
      </c>
      <c r="L23">
        <f>SLOPE('Cost of capital'!E38:E85, 'Cost of capital'!$F38:'Cost of capital'!$F85)</f>
        <v>0.63585392775251548</v>
      </c>
      <c r="M23">
        <f>SLOPE('Cost of capital'!F38:F85, 'Cost of capital'!$F38:'Cost of capital'!$F85)</f>
        <v>1</v>
      </c>
      <c r="N23">
        <f>SLOPE('Cost of capital'!G38:G85,'Cost of capital'!F38:F85)</f>
        <v>-5.5076542312218566E-3</v>
      </c>
    </row>
    <row r="24" spans="1:14">
      <c r="A24" s="76">
        <v>-1.4956377233070195E-2</v>
      </c>
      <c r="C24" s="73">
        <f>'Cost of capital'!F38-'Cost of capital'!G38</f>
        <v>4.6699999999999998E-2</v>
      </c>
      <c r="H24" s="2" t="str">
        <f>TEXT('Cost of capital'!A39,"mmm yyyy")&amp;" - "&amp;TEXT('Cost of capital'!A86,"mmm yyyy")</f>
        <v>Jan 2011 - Feb 2007</v>
      </c>
      <c r="I24">
        <f>SLOPE('Cost of capital'!B39:B86, 'Cost of capital'!F39:'Cost of capital'!F86)</f>
        <v>0.45623701286946838</v>
      </c>
      <c r="J24">
        <f>SLOPE('Cost of capital'!C39:C86, 'Cost of capital'!$F39:'Cost of capital'!$F86)</f>
        <v>0.23632412154213547</v>
      </c>
      <c r="K24">
        <f>SLOPE('Cost of capital'!D39:D86, 'Cost of capital'!$F39:'Cost of capital'!$F86)</f>
        <v>-0.13704332730514418</v>
      </c>
      <c r="L24">
        <f>SLOPE('Cost of capital'!E39:E86, 'Cost of capital'!$F39:'Cost of capital'!$F86)</f>
        <v>0.6062505439184005</v>
      </c>
      <c r="M24">
        <f>SLOPE('Cost of capital'!F39:F86, 'Cost of capital'!$F39:'Cost of capital'!$F86)</f>
        <v>1</v>
      </c>
      <c r="N24">
        <f>SLOPE('Cost of capital'!G39:G86,'Cost of capital'!F39:F86)</f>
        <v>-3.8177662600382737E-3</v>
      </c>
    </row>
    <row r="25" spans="1:14">
      <c r="A25" s="76">
        <v>9.7082953509571412E-2</v>
      </c>
      <c r="C25" s="73">
        <f>'Cost of capital'!F39-'Cost of capital'!G39</f>
        <v>1.67E-2</v>
      </c>
      <c r="H25" s="2" t="str">
        <f>TEXT('Cost of capital'!A40,"mmm yyyy")&amp;" - "&amp;TEXT('Cost of capital'!A87,"mmm yyyy")</f>
        <v>Dec 2010 - Jan 2007</v>
      </c>
      <c r="I25">
        <f>SLOPE('Cost of capital'!B40:B87, 'Cost of capital'!F40:'Cost of capital'!F87)</f>
        <v>0.407683863151374</v>
      </c>
      <c r="J25">
        <f>SLOPE('Cost of capital'!C40:C87, 'Cost of capital'!$F40:'Cost of capital'!$F87)</f>
        <v>0.22354361339998749</v>
      </c>
      <c r="K25">
        <f>SLOPE('Cost of capital'!D40:D87, 'Cost of capital'!$F40:'Cost of capital'!$F87)</f>
        <v>-0.12462543224955308</v>
      </c>
      <c r="L25">
        <f>SLOPE('Cost of capital'!E40:E87, 'Cost of capital'!$F40:'Cost of capital'!$F87)</f>
        <v>0.59938018105036339</v>
      </c>
      <c r="M25">
        <f>SLOPE('Cost of capital'!F40:F87, 'Cost of capital'!$F40:'Cost of capital'!$F87)</f>
        <v>1</v>
      </c>
      <c r="N25">
        <f>SLOPE('Cost of capital'!G40:G87,'Cost of capital'!F40:F87)</f>
        <v>-4.8877395309134099E-3</v>
      </c>
    </row>
    <row r="26" spans="1:14">
      <c r="A26" s="76">
        <v>7.0243902439024453E-2</v>
      </c>
      <c r="C26" s="73">
        <f>'Cost of capital'!F40-'Cost of capital'!G40</f>
        <v>1.95E-2</v>
      </c>
      <c r="H26" s="2" t="str">
        <f>TEXT('Cost of capital'!A41,"mmm yyyy")&amp;" - "&amp;TEXT('Cost of capital'!A88,"mmm yyyy")</f>
        <v>Nov 2010 - Dec 2006</v>
      </c>
      <c r="I26">
        <f>SLOPE('Cost of capital'!B41:B88, 'Cost of capital'!F41:'Cost of capital'!F88)</f>
        <v>0.33126691211552939</v>
      </c>
      <c r="J26">
        <f>SLOPE('Cost of capital'!C41:C88, 'Cost of capital'!$F41:'Cost of capital'!$F88)</f>
        <v>0.19089816109969523</v>
      </c>
      <c r="K26">
        <f>SLOPE('Cost of capital'!D41:D88, 'Cost of capital'!$F41:'Cost of capital'!$F88)</f>
        <v>-0.18551466647308359</v>
      </c>
      <c r="L26">
        <f>SLOPE('Cost of capital'!E41:E88, 'Cost of capital'!$F41:'Cost of capital'!$F88)</f>
        <v>0.56824103928594172</v>
      </c>
      <c r="M26">
        <f>SLOPE('Cost of capital'!F41:F88, 'Cost of capital'!$F41:'Cost of capital'!$F88)</f>
        <v>1</v>
      </c>
      <c r="N26">
        <f>SLOPE('Cost of capital'!G41:G88,'Cost of capital'!F41:F88)</f>
        <v>-3.2501383086037949E-3</v>
      </c>
    </row>
    <row r="27" spans="1:14">
      <c r="A27" s="76">
        <v>5.1821446895844003E-2</v>
      </c>
      <c r="C27" s="73">
        <f>'Cost of capital'!F41-'Cost of capital'!G41</f>
        <v>1.6000000000000001E-3</v>
      </c>
      <c r="H27" s="2" t="str">
        <f>TEXT('Cost of capital'!A42,"mmm yyyy")&amp;" - "&amp;TEXT('Cost of capital'!A89,"mmm yyyy")</f>
        <v>Oct 2010 - Nov 2006</v>
      </c>
      <c r="I27">
        <f>SLOPE('Cost of capital'!B42:B89, 'Cost of capital'!F42:'Cost of capital'!F89)</f>
        <v>0.28217662701303481</v>
      </c>
      <c r="J27">
        <f>SLOPE('Cost of capital'!C42:C89, 'Cost of capital'!$F42:'Cost of capital'!$F89)</f>
        <v>0.14129324567386398</v>
      </c>
      <c r="K27">
        <f>SLOPE('Cost of capital'!D42:D89, 'Cost of capital'!$F42:'Cost of capital'!$F89)</f>
        <v>-0.27164684100973391</v>
      </c>
      <c r="L27">
        <f>SLOPE('Cost of capital'!E42:E89, 'Cost of capital'!$F42:'Cost of capital'!$F89)</f>
        <v>0.45915834214932505</v>
      </c>
      <c r="M27">
        <f>SLOPE('Cost of capital'!F42:F89, 'Cost of capital'!$F42:'Cost of capital'!$F89)</f>
        <v>1</v>
      </c>
      <c r="N27">
        <f>SLOPE('Cost of capital'!G42:G89,'Cost of capital'!F42:F89)</f>
        <v>-1.1453816594588415E-3</v>
      </c>
    </row>
    <row r="28" spans="1:14">
      <c r="A28" s="76">
        <v>4.6162104133118609E-2</v>
      </c>
      <c r="C28" s="73">
        <f>'Cost of capital'!F42-'Cost of capital'!G42</f>
        <v>3.6699999999999997E-2</v>
      </c>
      <c r="H28" s="2" t="str">
        <f>TEXT('Cost of capital'!A43,"mmm yyyy")&amp;" - "&amp;TEXT('Cost of capital'!A90,"mmm yyyy")</f>
        <v>Sep 2010 - Oct 2006</v>
      </c>
      <c r="I28">
        <f>SLOPE('Cost of capital'!B43:B90, 'Cost of capital'!F43:'Cost of capital'!F90)</f>
        <v>0.27451988836156016</v>
      </c>
      <c r="J28">
        <f>SLOPE('Cost of capital'!C43:C90, 'Cost of capital'!$F43:'Cost of capital'!$F90)</f>
        <v>0.14482754550162677</v>
      </c>
      <c r="K28">
        <f>SLOPE('Cost of capital'!D43:D90, 'Cost of capital'!$F43:'Cost of capital'!$F90)</f>
        <v>-0.30662758422620362</v>
      </c>
      <c r="L28">
        <f>SLOPE('Cost of capital'!E43:E90, 'Cost of capital'!$F43:'Cost of capital'!$F90)</f>
        <v>0.48563390705267334</v>
      </c>
      <c r="M28">
        <f>SLOPE('Cost of capital'!F43:F90, 'Cost of capital'!$F43:'Cost of capital'!$F90)</f>
        <v>1</v>
      </c>
      <c r="N28">
        <f>SLOPE('Cost of capital'!G43:G90,'Cost of capital'!F43:F90)</f>
        <v>-1.4919513957091747E-3</v>
      </c>
    </row>
    <row r="29" spans="1:14">
      <c r="A29" s="76">
        <v>-3.2207792207792241E-2</v>
      </c>
      <c r="C29" s="73">
        <f>'Cost of capital'!F43-'Cost of capital'!G43</f>
        <v>2.0799999999999999E-2</v>
      </c>
      <c r="H29" s="2" t="str">
        <f>TEXT('Cost of capital'!A44,"mmm yyyy")&amp;" - "&amp;TEXT('Cost of capital'!A91,"mmm yyyy")</f>
        <v>Aug 2010 - Sep 2006</v>
      </c>
      <c r="I29">
        <f>SLOPE('Cost of capital'!B44:B91, 'Cost of capital'!F44:'Cost of capital'!F91)</f>
        <v>0.22119614787213651</v>
      </c>
      <c r="J29">
        <f>SLOPE('Cost of capital'!C44:C91, 'Cost of capital'!$F44:'Cost of capital'!$F91)</f>
        <v>6.6844639689332477E-2</v>
      </c>
      <c r="K29">
        <f>SLOPE('Cost of capital'!D44:D91, 'Cost of capital'!$F44:'Cost of capital'!$F91)</f>
        <v>-0.29013874239202297</v>
      </c>
      <c r="L29">
        <f>SLOPE('Cost of capital'!E44:E91, 'Cost of capital'!$F44:'Cost of capital'!$F91)</f>
        <v>0.44998409322068272</v>
      </c>
      <c r="M29">
        <f>SLOPE('Cost of capital'!F44:F91, 'Cost of capital'!$F44:'Cost of capital'!$F91)</f>
        <v>1</v>
      </c>
      <c r="N29">
        <f>SLOPE('Cost of capital'!G44:G91,'Cost of capital'!F44:F91)</f>
        <v>-5.0423107724961161E-4</v>
      </c>
    </row>
    <row r="30" spans="1:14">
      <c r="A30" s="76">
        <v>-4.4190665342601854E-2</v>
      </c>
      <c r="C30" s="73">
        <f>'Cost of capital'!F44-'Cost of capital'!G44</f>
        <v>1.3500000000000002E-2</v>
      </c>
      <c r="H30" s="2" t="str">
        <f>TEXT('Cost of capital'!A45,"mmm yyyy")&amp;" - "&amp;TEXT('Cost of capital'!A92,"mmm yyyy")</f>
        <v>Jul 2010 - Aug 2006</v>
      </c>
      <c r="I30">
        <f>SLOPE('Cost of capital'!B45:B92, 'Cost of capital'!F45:'Cost of capital'!F92)</f>
        <v>0.22244622177564902</v>
      </c>
      <c r="J30">
        <f>SLOPE('Cost of capital'!C45:C92, 'Cost of capital'!$F45:'Cost of capital'!$F92)</f>
        <v>7.267310980471714E-2</v>
      </c>
      <c r="K30">
        <f>SLOPE('Cost of capital'!D45:D92, 'Cost of capital'!$F45:'Cost of capital'!$F92)</f>
        <v>-0.29210464810840359</v>
      </c>
      <c r="L30">
        <f>SLOPE('Cost of capital'!E45:E92, 'Cost of capital'!$F45:'Cost of capital'!$F92)</f>
        <v>0.38292592801308789</v>
      </c>
      <c r="M30">
        <f>SLOPE('Cost of capital'!F45:F92, 'Cost of capital'!$F45:'Cost of capital'!$F92)</f>
        <v>1</v>
      </c>
      <c r="N30">
        <f>SLOPE('Cost of capital'!G45:G92,'Cost of capital'!F45:F92)</f>
        <v>-1.5672030761909991E-3</v>
      </c>
    </row>
    <row r="31" spans="1:14">
      <c r="A31" s="76">
        <v>8.0472103004291862E-2</v>
      </c>
      <c r="C31" s="73">
        <f>'Cost of capital'!F45-'Cost of capital'!G45</f>
        <v>-2.5000000000000001E-2</v>
      </c>
      <c r="H31" s="2" t="str">
        <f>TEXT('Cost of capital'!A46,"mmm yyyy")&amp;" - "&amp;TEXT('Cost of capital'!A93,"mmm yyyy")</f>
        <v>Jun 2010 - Jul 2006</v>
      </c>
      <c r="I31">
        <f>SLOPE('Cost of capital'!B46:B93, 'Cost of capital'!F46:'Cost of capital'!F93)</f>
        <v>0.27525013460131714</v>
      </c>
      <c r="J31">
        <f>SLOPE('Cost of capital'!C46:C93, 'Cost of capital'!$F46:'Cost of capital'!$F93)</f>
        <v>4.3927693140806759E-2</v>
      </c>
      <c r="K31">
        <f>SLOPE('Cost of capital'!D46:D93, 'Cost of capital'!$F46:'Cost of capital'!$F93)</f>
        <v>-0.30418395280075944</v>
      </c>
      <c r="L31">
        <f>SLOPE('Cost of capital'!E46:E93, 'Cost of capital'!$F46:'Cost of capital'!$F93)</f>
        <v>0.37638719093997636</v>
      </c>
      <c r="M31">
        <f>SLOPE('Cost of capital'!F46:F93, 'Cost of capital'!$F46:'Cost of capital'!$F93)</f>
        <v>1</v>
      </c>
      <c r="N31">
        <f>SLOPE('Cost of capital'!G46:G93,'Cost of capital'!F46:F93)</f>
        <v>-8.5678110066745585E-4</v>
      </c>
    </row>
    <row r="32" spans="1:14">
      <c r="A32" s="76">
        <v>-0.1913232104121475</v>
      </c>
      <c r="C32" s="73">
        <f>'Cost of capital'!F46-'Cost of capital'!G46</f>
        <v>-1.1599999999999999E-2</v>
      </c>
      <c r="H32" s="2" t="str">
        <f>TEXT('Cost of capital'!A47,"mmm yyyy")&amp;" - "&amp;TEXT('Cost of capital'!A94,"mmm yyyy")</f>
        <v>May 2010 - Jun 2006</v>
      </c>
      <c r="I32">
        <f>SLOPE('Cost of capital'!B47:B94, 'Cost of capital'!F47:'Cost of capital'!F94)</f>
        <v>0.26058981263200004</v>
      </c>
      <c r="J32">
        <f>SLOPE('Cost of capital'!C47:C94, 'Cost of capital'!$F47:'Cost of capital'!$F94)</f>
        <v>6.461986399603277E-2</v>
      </c>
      <c r="K32">
        <f>SLOPE('Cost of capital'!D47:D94, 'Cost of capital'!$F47:'Cost of capital'!$F94)</f>
        <v>-0.33044094199938445</v>
      </c>
      <c r="L32">
        <f>SLOPE('Cost of capital'!E47:E94, 'Cost of capital'!$F47:'Cost of capital'!$F94)</f>
        <v>0.33697672362655634</v>
      </c>
      <c r="M32">
        <f>SLOPE('Cost of capital'!F47:F94, 'Cost of capital'!$F47:'Cost of capital'!$F94)</f>
        <v>1</v>
      </c>
      <c r="N32">
        <f>SLOPE('Cost of capital'!G47:G94,'Cost of capital'!F47:F94)</f>
        <v>-1.5736232014048875E-4</v>
      </c>
    </row>
    <row r="33" spans="1:14">
      <c r="A33" s="76">
        <v>0.16296670030272464</v>
      </c>
      <c r="C33" s="73">
        <f>'Cost of capital'!F47-'Cost of capital'!G47</f>
        <v>1.49E-2</v>
      </c>
      <c r="H33" s="2" t="str">
        <f>TEXT('Cost of capital'!A48,"mmm yyyy")&amp;" - "&amp;TEXT('Cost of capital'!A95,"mmm yyyy")</f>
        <v>Apr 2010 - May 2006</v>
      </c>
      <c r="I33">
        <f>SLOPE('Cost of capital'!B48:B95, 'Cost of capital'!F48:'Cost of capital'!F95)</f>
        <v>0.24182528959638333</v>
      </c>
      <c r="J33">
        <f>SLOPE('Cost of capital'!C48:C95, 'Cost of capital'!$F48:'Cost of capital'!$F95)</f>
        <v>8.6832676241519663E-2</v>
      </c>
      <c r="K33">
        <f>SLOPE('Cost of capital'!D48:D95, 'Cost of capital'!$F48:'Cost of capital'!$F95)</f>
        <v>-0.29723993515234476</v>
      </c>
      <c r="L33">
        <f>SLOPE('Cost of capital'!E48:E95, 'Cost of capital'!$F48:'Cost of capital'!$F95)</f>
        <v>0.33053118259686293</v>
      </c>
      <c r="M33">
        <f>SLOPE('Cost of capital'!F48:F95, 'Cost of capital'!$F48:'Cost of capital'!$F95)</f>
        <v>1</v>
      </c>
      <c r="N33">
        <f>SLOPE('Cost of capital'!G48:G95,'Cost of capital'!F48:F95)</f>
        <v>3.0738035731451196E-4</v>
      </c>
    </row>
    <row r="34" spans="1:14">
      <c r="A34" s="76">
        <v>3.8239916186485035E-2</v>
      </c>
      <c r="C34" s="73">
        <f>'Cost of capital'!F48-'Cost of capital'!G48</f>
        <v>2.2400000000000003E-2</v>
      </c>
      <c r="H34" s="2" t="str">
        <f>TEXT('Cost of capital'!A49,"mmm yyyy")&amp;" - "&amp;TEXT('Cost of capital'!A96,"mmm yyyy")</f>
        <v>Mar 2010 - Apr 2006</v>
      </c>
      <c r="I34">
        <f>SLOPE('Cost of capital'!B49:B96, 'Cost of capital'!F49:'Cost of capital'!F96)</f>
        <v>0.23916771987735089</v>
      </c>
      <c r="J34">
        <f>SLOPE('Cost of capital'!C49:C96, 'Cost of capital'!$F49:'Cost of capital'!$F96)</f>
        <v>0.12778699123551673</v>
      </c>
      <c r="K34">
        <f>SLOPE('Cost of capital'!D49:D96, 'Cost of capital'!$F49:'Cost of capital'!$F96)</f>
        <v>-0.25057364139439697</v>
      </c>
      <c r="L34">
        <f>SLOPE('Cost of capital'!E49:E96, 'Cost of capital'!$F49:'Cost of capital'!$F96)</f>
        <v>0.3230700578178014</v>
      </c>
      <c r="M34">
        <f>SLOPE('Cost of capital'!F49:F96, 'Cost of capital'!$F49:'Cost of capital'!$F96)</f>
        <v>1</v>
      </c>
      <c r="N34">
        <f>SLOPE('Cost of capital'!G49:G96,'Cost of capital'!F49:F96)</f>
        <v>-1.5534064136018733E-4</v>
      </c>
    </row>
    <row r="35" spans="1:14">
      <c r="A35" s="76">
        <v>-0.13266696955929125</v>
      </c>
      <c r="C35" s="73">
        <f>'Cost of capital'!F49-'Cost of capital'!G49</f>
        <v>4.4699999999999997E-2</v>
      </c>
      <c r="H35" s="2" t="str">
        <f>TEXT('Cost of capital'!A50,"mmm yyyy")&amp;" - "&amp;TEXT('Cost of capital'!A97,"mmm yyyy")</f>
        <v>Feb 2010 - Mar 2006</v>
      </c>
      <c r="I35">
        <f>SLOPE('Cost of capital'!B50:B97, 'Cost of capital'!F50:'Cost of capital'!F97)</f>
        <v>0.22180195374107137</v>
      </c>
      <c r="J35">
        <f>SLOPE('Cost of capital'!C50:C97, 'Cost of capital'!$F50:'Cost of capital'!$F97)</f>
        <v>4.8131792139010594E-2</v>
      </c>
      <c r="K35">
        <f>SLOPE('Cost of capital'!D50:D97, 'Cost of capital'!$F50:'Cost of capital'!$F97)</f>
        <v>-0.23901504362242321</v>
      </c>
      <c r="L35">
        <f>SLOPE('Cost of capital'!E50:E97, 'Cost of capital'!$F50:'Cost of capital'!$F97)</f>
        <v>0.27249933193402148</v>
      </c>
      <c r="M35">
        <f>SLOPE('Cost of capital'!F50:F97, 'Cost of capital'!$F50:'Cost of capital'!$F97)</f>
        <v>1</v>
      </c>
      <c r="N35">
        <f>SLOPE('Cost of capital'!G50:G97,'Cost of capital'!F50:F97)</f>
        <v>1.5394533604199663E-3</v>
      </c>
    </row>
    <row r="36" spans="1:14">
      <c r="A36" s="76">
        <v>1.6628175519630695E-2</v>
      </c>
      <c r="C36" s="73">
        <f>'Cost of capital'!F50-'Cost of capital'!G50</f>
        <v>1.5900000000000001E-2</v>
      </c>
      <c r="H36" s="2" t="str">
        <f>TEXT('Cost of capital'!A51,"mmm yyyy")&amp;" - "&amp;TEXT('Cost of capital'!A98,"mmm yyyy")</f>
        <v>Jan 2010 - Feb 2006</v>
      </c>
      <c r="I36">
        <f>SLOPE('Cost of capital'!B51:B98, 'Cost of capital'!F51:'Cost of capital'!F98)</f>
        <v>0.21392805851257196</v>
      </c>
      <c r="J36">
        <f>SLOPE('Cost of capital'!C51:C98, 'Cost of capital'!$F51:'Cost of capital'!$F98)</f>
        <v>3.8665930866218383E-2</v>
      </c>
      <c r="K36">
        <f>SLOPE('Cost of capital'!D51:D98, 'Cost of capital'!$F51:'Cost of capital'!$F98)</f>
        <v>-0.22901136981390074</v>
      </c>
      <c r="L36">
        <f>SLOPE('Cost of capital'!E51:E98, 'Cost of capital'!$F51:'Cost of capital'!$F98)</f>
        <v>0.25315088586915246</v>
      </c>
      <c r="M36">
        <f>SLOPE('Cost of capital'!F51:F98, 'Cost of capital'!$F51:'Cost of capital'!$F98)</f>
        <v>1</v>
      </c>
      <c r="N36">
        <f>SLOPE('Cost of capital'!G51:G98,'Cost of capital'!F51:F98)</f>
        <v>1.8664316007632098E-3</v>
      </c>
    </row>
    <row r="37" spans="1:14">
      <c r="A37" s="76">
        <v>0.15282215122470699</v>
      </c>
      <c r="C37" s="73">
        <f>'Cost of capital'!F51-'Cost of capital'!G51</f>
        <v>5.96E-2</v>
      </c>
      <c r="H37" s="2" t="str">
        <f>TEXT('Cost of capital'!A52,"mmm yyyy")&amp;" - "&amp;TEXT('Cost of capital'!A99,"mmm yyyy")</f>
        <v>Dec 2009 - Jan 2006</v>
      </c>
      <c r="I37">
        <f>SLOPE('Cost of capital'!B52:B99, 'Cost of capital'!F52:'Cost of capital'!F99)</f>
        <v>0.14649354489121244</v>
      </c>
      <c r="J37">
        <f>SLOPE('Cost of capital'!C52:C99, 'Cost of capital'!$F52:'Cost of capital'!$F99)</f>
        <v>6.080533439103377E-2</v>
      </c>
      <c r="K37">
        <f>SLOPE('Cost of capital'!D52:D99, 'Cost of capital'!$F52:'Cost of capital'!$F99)</f>
        <v>-0.2126230748891309</v>
      </c>
      <c r="L37">
        <f>SLOPE('Cost of capital'!E52:E99, 'Cost of capital'!$F52:'Cost of capital'!$F99)</f>
        <v>0.24451854551817506</v>
      </c>
      <c r="M37">
        <f>SLOPE('Cost of capital'!F52:F99, 'Cost of capital'!$F52:'Cost of capital'!$F99)</f>
        <v>1</v>
      </c>
      <c r="N37">
        <f>SLOPE('Cost of capital'!G52:G99,'Cost of capital'!F52:F99)</f>
        <v>3.2240875371402867E-3</v>
      </c>
    </row>
    <row r="38" spans="1:14">
      <c r="A38" s="76">
        <v>3.4140969162995694E-2</v>
      </c>
      <c r="C38" s="73">
        <f>'Cost of capital'!F52-'Cost of capital'!G52</f>
        <v>-9.8999999999999991E-3</v>
      </c>
      <c r="H38" s="2" t="str">
        <f>TEXT('Cost of capital'!A53,"mmm yyyy")&amp;" - "&amp;TEXT('Cost of capital'!A100,"mmm yyyy")</f>
        <v>Nov 2009 - Dec 2005</v>
      </c>
      <c r="I38">
        <f>SLOPE('Cost of capital'!B53:B100, 'Cost of capital'!F53:'Cost of capital'!F100)</f>
        <v>0.19320239507604542</v>
      </c>
      <c r="J38">
        <f>SLOPE('Cost of capital'!C53:C100, 'Cost of capital'!$F53:'Cost of capital'!$F100)</f>
        <v>7.2716619674264737E-2</v>
      </c>
      <c r="K38">
        <f>SLOPE('Cost of capital'!D53:D100, 'Cost of capital'!$F53:'Cost of capital'!$F100)</f>
        <v>-0.15918235916577023</v>
      </c>
      <c r="L38">
        <f>SLOPE('Cost of capital'!E53:E100, 'Cost of capital'!$F53:'Cost of capital'!$F100)</f>
        <v>0.28035086520120994</v>
      </c>
      <c r="M38">
        <f>SLOPE('Cost of capital'!F53:F100, 'Cost of capital'!$F53:'Cost of capital'!$F100)</f>
        <v>1</v>
      </c>
      <c r="N38">
        <f>SLOPE('Cost of capital'!G53:G100,'Cost of capital'!F53:F100)</f>
        <v>2.6043671541186243E-3</v>
      </c>
    </row>
    <row r="39" spans="1:14">
      <c r="A39" s="76">
        <v>-6.8240123140071773E-2</v>
      </c>
      <c r="C39" s="73">
        <f>'Cost of capital'!F53-'Cost of capital'!G53</f>
        <v>2.4199999999999999E-2</v>
      </c>
      <c r="H39" s="2" t="str">
        <f>TEXT('Cost of capital'!A54,"mmm yyyy")&amp;" - "&amp;TEXT('Cost of capital'!A101,"mmm yyyy")</f>
        <v>Oct 2009 - Nov 2005</v>
      </c>
      <c r="I39">
        <f>SLOPE('Cost of capital'!B54:B101, 'Cost of capital'!F54:'Cost of capital'!F101)</f>
        <v>0.18400050627620118</v>
      </c>
      <c r="J39">
        <f>SLOPE('Cost of capital'!C54:C101, 'Cost of capital'!$F54:'Cost of capital'!$F101)</f>
        <v>8.9244179082002537E-2</v>
      </c>
      <c r="K39">
        <f>SLOPE('Cost of capital'!D54:D101, 'Cost of capital'!$F54:'Cost of capital'!$F101)</f>
        <v>-0.1648280906235737</v>
      </c>
      <c r="L39">
        <f>SLOPE('Cost of capital'!E54:E101, 'Cost of capital'!$F54:'Cost of capital'!$F101)</f>
        <v>0.2712755664186009</v>
      </c>
      <c r="M39">
        <f>SLOPE('Cost of capital'!F54:F101, 'Cost of capital'!$F54:'Cost of capital'!$F101)</f>
        <v>1</v>
      </c>
      <c r="N39">
        <f>SLOPE('Cost of capital'!G54:G101,'Cost of capital'!F54:F101)</f>
        <v>2.7156370660534859E-3</v>
      </c>
    </row>
    <row r="40" spans="1:14">
      <c r="A40" s="76">
        <v>0.18049666868564485</v>
      </c>
      <c r="C40" s="73">
        <f>'Cost of capital'!F54-'Cost of capital'!G54</f>
        <v>2.2400000000000003E-2</v>
      </c>
      <c r="H40" s="2" t="str">
        <f>TEXT('Cost of capital'!A55,"mmm yyyy")&amp;" - "&amp;TEXT('Cost of capital'!A102,"mmm yyyy")</f>
        <v>Sep 2009 - Oct 2005</v>
      </c>
      <c r="I40">
        <f>SLOPE('Cost of capital'!B55:B102, 'Cost of capital'!F55:'Cost of capital'!F102)</f>
        <v>0.14809597071233971</v>
      </c>
      <c r="J40">
        <f>SLOPE('Cost of capital'!C55:C102, 'Cost of capital'!$F55:'Cost of capital'!$F102)</f>
        <v>8.6909026179908602E-2</v>
      </c>
      <c r="K40">
        <f>SLOPE('Cost of capital'!D55:D102, 'Cost of capital'!$F55:'Cost of capital'!$F102)</f>
        <v>-0.16282822488154053</v>
      </c>
      <c r="L40">
        <f>SLOPE('Cost of capital'!E55:E102, 'Cost of capital'!$F55:'Cost of capital'!$F102)</f>
        <v>0.28516122829888535</v>
      </c>
      <c r="M40">
        <f>SLOPE('Cost of capital'!F55:F102, 'Cost of capital'!$F55:'Cost of capital'!$F102)</f>
        <v>1</v>
      </c>
      <c r="N40">
        <f>SLOPE('Cost of capital'!G55:G102,'Cost of capital'!F55:F102)</f>
        <v>2.6740832593621375E-3</v>
      </c>
    </row>
    <row r="41" spans="1:14">
      <c r="A41" s="76">
        <v>-4.3453070683661665E-2</v>
      </c>
      <c r="C41" s="73">
        <f>'Cost of capital'!F55-'Cost of capital'!G55</f>
        <v>1.5300000000000001E-2</v>
      </c>
      <c r="H41" s="2" t="str">
        <f>TEXT('Cost of capital'!A56,"mmm yyyy")&amp;" - "&amp;TEXT('Cost of capital'!A103,"mmm yyyy")</f>
        <v>Aug 2009 - Sep 2005</v>
      </c>
      <c r="I41">
        <f>SLOPE('Cost of capital'!B56:B103, 'Cost of capital'!F56:'Cost of capital'!F103)</f>
        <v>0.13361596286604591</v>
      </c>
      <c r="J41">
        <f>SLOPE('Cost of capital'!C56:C103, 'Cost of capital'!$F56:'Cost of capital'!$F103)</f>
        <v>8.8784825730951547E-2</v>
      </c>
      <c r="K41">
        <f>SLOPE('Cost of capital'!D56:D103, 'Cost of capital'!$F56:'Cost of capital'!$F103)</f>
        <v>-0.16839455493498887</v>
      </c>
      <c r="L41">
        <f>SLOPE('Cost of capital'!E56:E103, 'Cost of capital'!$F56:'Cost of capital'!$F103)</f>
        <v>0.30215228498452351</v>
      </c>
      <c r="M41">
        <f>SLOPE('Cost of capital'!F56:F103, 'Cost of capital'!$F56:'Cost of capital'!$F103)</f>
        <v>1</v>
      </c>
      <c r="N41">
        <f>SLOPE('Cost of capital'!G56:G103,'Cost of capital'!F56:F103)</f>
        <v>3.1282452811600427E-3</v>
      </c>
    </row>
    <row r="42" spans="1:14">
      <c r="A42" s="76">
        <v>2.3724792408066575E-2</v>
      </c>
      <c r="C42" s="73">
        <f>'Cost of capital'!F56-'Cost of capital'!G56</f>
        <v>6.2600000000000003E-2</v>
      </c>
      <c r="H42" s="2" t="str">
        <f>TEXT('Cost of capital'!A57,"mmm yyyy")&amp;" - "&amp;TEXT('Cost of capital'!A104,"mmm yyyy")</f>
        <v>Jul 2009 - Aug 2005</v>
      </c>
      <c r="I42">
        <f>SLOPE('Cost of capital'!B57:B104, 'Cost of capital'!F57:'Cost of capital'!F104)</f>
        <v>9.9755476672069104E-2</v>
      </c>
      <c r="J42">
        <f>SLOPE('Cost of capital'!C57:C104, 'Cost of capital'!$F57:'Cost of capital'!$F104)</f>
        <v>0.10441168249865461</v>
      </c>
      <c r="K42">
        <f>SLOPE('Cost of capital'!D57:D104, 'Cost of capital'!$F57:'Cost of capital'!$F104)</f>
        <v>-0.16922277773058494</v>
      </c>
      <c r="L42">
        <f>SLOPE('Cost of capital'!E57:E104, 'Cost of capital'!$F57:'Cost of capital'!$F104)</f>
        <v>0.29719683870542635</v>
      </c>
      <c r="M42">
        <f>SLOPE('Cost of capital'!F57:F104, 'Cost of capital'!$F57:'Cost of capital'!$F104)</f>
        <v>1</v>
      </c>
      <c r="N42">
        <f>SLOPE('Cost of capital'!G57:G104,'Cost of capital'!F57:F104)</f>
        <v>4.0757563145233438E-3</v>
      </c>
    </row>
    <row r="43" spans="1:14">
      <c r="A43" s="76">
        <v>0.17655268667131896</v>
      </c>
      <c r="C43" s="73">
        <f>'Cost of capital'!F57-'Cost of capital'!G57</f>
        <v>8.1799999999999998E-2</v>
      </c>
      <c r="H43" s="2" t="str">
        <f>TEXT('Cost of capital'!A58,"mmm yyyy")&amp;" - "&amp;TEXT('Cost of capital'!A105,"mmm yyyy")</f>
        <v>Jun 2009 - Jul 2005</v>
      </c>
      <c r="I43">
        <f>SLOPE('Cost of capital'!B58:B105, 'Cost of capital'!F58:'Cost of capital'!F105)</f>
        <v>-5.8923023106145681E-2</v>
      </c>
      <c r="J43">
        <f>SLOPE('Cost of capital'!C58:C105, 'Cost of capital'!$F58:'Cost of capital'!$F105)</f>
        <v>6.0949077249612398E-2</v>
      </c>
      <c r="K43">
        <f>SLOPE('Cost of capital'!D58:D105, 'Cost of capital'!$F58:'Cost of capital'!$F105)</f>
        <v>-0.15965004052323442</v>
      </c>
      <c r="L43">
        <f>SLOPE('Cost of capital'!E58:E105, 'Cost of capital'!$F58:'Cost of capital'!$F105)</f>
        <v>0.14551493633147039</v>
      </c>
      <c r="M43">
        <f>SLOPE('Cost of capital'!F58:F105, 'Cost of capital'!$F58:'Cost of capital'!$F105)</f>
        <v>1</v>
      </c>
      <c r="N43">
        <f>SLOPE('Cost of capital'!G58:G105,'Cost of capital'!F58:F105)</f>
        <v>5.7879085362548145E-3</v>
      </c>
    </row>
    <row r="44" spans="1:14">
      <c r="A44" s="76">
        <v>-3.8900067069081112E-2</v>
      </c>
      <c r="C44" s="73">
        <f>'Cost of capital'!F58-'Cost of capital'!G58</f>
        <v>9.2999999999999992E-3</v>
      </c>
      <c r="H44" s="2" t="str">
        <f>TEXT('Cost of capital'!A59,"mmm yyyy")&amp;" - "&amp;TEXT('Cost of capital'!A106,"mmm yyyy")</f>
        <v>May 2009 - Jun 2005</v>
      </c>
      <c r="I44">
        <f>SLOPE('Cost of capital'!B59:B106, 'Cost of capital'!F59:'Cost of capital'!F106)</f>
        <v>-9.4175577597301295E-3</v>
      </c>
      <c r="J44">
        <f>SLOPE('Cost of capital'!C59:C106, 'Cost of capital'!$F59:'Cost of capital'!$F106)</f>
        <v>8.8194663425092509E-2</v>
      </c>
      <c r="K44">
        <f>SLOPE('Cost of capital'!D59:D106, 'Cost of capital'!$F59:'Cost of capital'!$F106)</f>
        <v>-0.11400685807554077</v>
      </c>
      <c r="L44">
        <f>SLOPE('Cost of capital'!E59:E106, 'Cost of capital'!$F59:'Cost of capital'!$F106)</f>
        <v>0.22586094456052946</v>
      </c>
      <c r="M44">
        <f>SLOPE('Cost of capital'!F59:F106, 'Cost of capital'!$F59:'Cost of capital'!$F106)</f>
        <v>1</v>
      </c>
      <c r="N44">
        <f>SLOPE('Cost of capital'!G59:G106,'Cost of capital'!F59:F106)</f>
        <v>6.1271713840619288E-3</v>
      </c>
    </row>
    <row r="45" spans="1:14">
      <c r="A45" s="76">
        <v>-3.495145631067953E-2</v>
      </c>
      <c r="C45" s="73">
        <f>'Cost of capital'!F59-'Cost of capital'!G59</f>
        <v>-1.6299999999999999E-2</v>
      </c>
      <c r="H45" s="2" t="str">
        <f>TEXT('Cost of capital'!A60,"mmm yyyy")&amp;" - "&amp;TEXT('Cost of capital'!A107,"mmm yyyy")</f>
        <v>Apr 2009 - May 2005</v>
      </c>
      <c r="I45">
        <f>SLOPE('Cost of capital'!B60:B107, 'Cost of capital'!F60:'Cost of capital'!F107)</f>
        <v>-2.0873255795923057E-3</v>
      </c>
      <c r="J45">
        <f>SLOPE('Cost of capital'!C60:C107, 'Cost of capital'!$F60:'Cost of capital'!$F107)</f>
        <v>6.3337659614394803E-2</v>
      </c>
      <c r="K45">
        <f>SLOPE('Cost of capital'!D60:D107, 'Cost of capital'!$F60:'Cost of capital'!$F107)</f>
        <v>-0.12665671715919374</v>
      </c>
      <c r="L45">
        <f>SLOPE('Cost of capital'!E60:E107, 'Cost of capital'!$F60:'Cost of capital'!$F107)</f>
        <v>0.22500735027912769</v>
      </c>
      <c r="M45">
        <f>SLOPE('Cost of capital'!F60:F107, 'Cost of capital'!$F60:'Cost of capital'!$F107)</f>
        <v>1</v>
      </c>
      <c r="N45">
        <f>SLOPE('Cost of capital'!G60:G107,'Cost of capital'!F60:F107)</f>
        <v>5.5322728930203959E-3</v>
      </c>
    </row>
    <row r="46" spans="1:14">
      <c r="A46" s="76">
        <v>-2.0291693088142049E-2</v>
      </c>
      <c r="C46" s="73">
        <f>'Cost of capital'!F60-'Cost of capital'!G60</f>
        <v>-2.4399999999999998E-2</v>
      </c>
      <c r="H46" s="2" t="str">
        <f>TEXT('Cost of capital'!A61,"mmm yyyy")&amp;" - "&amp;TEXT('Cost of capital'!A108,"mmm yyyy")</f>
        <v>Mar 2009 - Apr 2005</v>
      </c>
      <c r="I46">
        <f>SLOPE('Cost of capital'!B61:B108, 'Cost of capital'!F61:'Cost of capital'!F108)</f>
        <v>-2.739487290314483E-2</v>
      </c>
      <c r="J46">
        <f>SLOPE('Cost of capital'!C61:C108, 'Cost of capital'!$F61:'Cost of capital'!$F108)</f>
        <v>0.14509267885257496</v>
      </c>
      <c r="K46">
        <f>SLOPE('Cost of capital'!D61:D108, 'Cost of capital'!$F61:'Cost of capital'!$F108)</f>
        <v>-0.1484684849066677</v>
      </c>
      <c r="L46">
        <f>SLOPE('Cost of capital'!E61:E108, 'Cost of capital'!$F61:'Cost of capital'!$F108)</f>
        <v>0.23957667753087594</v>
      </c>
      <c r="M46">
        <f>SLOPE('Cost of capital'!F61:F108, 'Cost of capital'!$F61:'Cost of capital'!$F108)</f>
        <v>1</v>
      </c>
      <c r="N46">
        <f>SLOPE('Cost of capital'!G61:G108,'Cost of capital'!F61:F108)</f>
        <v>5.0357608729773183E-3</v>
      </c>
    </row>
    <row r="47" spans="1:14">
      <c r="A47" s="76">
        <v>6.7704807041299997E-2</v>
      </c>
      <c r="C47" s="73">
        <f>'Cost of capital'!F61-'Cost of capital'!G61</f>
        <v>-5.4400000000000004E-2</v>
      </c>
      <c r="H47" s="2" t="str">
        <f>TEXT('Cost of capital'!A62,"mmm yyyy")&amp;" - "&amp;TEXT('Cost of capital'!A109,"mmm yyyy")</f>
        <v>Feb 2009 - Mar 2005</v>
      </c>
      <c r="I47">
        <f>SLOPE('Cost of capital'!B62:B109, 'Cost of capital'!F62:'Cost of capital'!F109)</f>
        <v>-3.9552705982048662E-3</v>
      </c>
      <c r="J47">
        <f>SLOPE('Cost of capital'!C62:C109, 'Cost of capital'!$F62:'Cost of capital'!$F109)</f>
        <v>7.1842902622528793E-2</v>
      </c>
      <c r="K47">
        <f>SLOPE('Cost of capital'!D62:D109, 'Cost of capital'!$F62:'Cost of capital'!$F109)</f>
        <v>-0.15155794967283129</v>
      </c>
      <c r="L47">
        <f>SLOPE('Cost of capital'!E62:E109, 'Cost of capital'!$F62:'Cost of capital'!$F109)</f>
        <v>0.37867548738187778</v>
      </c>
      <c r="M47">
        <f>SLOPE('Cost of capital'!F62:F109, 'Cost of capital'!$F62:'Cost of capital'!$F109)</f>
        <v>1</v>
      </c>
      <c r="N47">
        <f>SLOPE('Cost of capital'!G62:G109,'Cost of capital'!F62:F109)</f>
        <v>4.1628154032437512E-3</v>
      </c>
    </row>
    <row r="48" spans="1:14">
      <c r="A48" s="76">
        <v>5.8022922636103091E-2</v>
      </c>
      <c r="C48" s="73">
        <f>'Cost of capital'!F62-'Cost of capital'!G62</f>
        <v>6.0100000000000001E-2</v>
      </c>
      <c r="H48" s="2" t="str">
        <f>TEXT('Cost of capital'!A63,"mmm yyyy")&amp;" - "&amp;TEXT('Cost of capital'!A110,"mmm yyyy")</f>
        <v>Jan 2009 - Feb 2005</v>
      </c>
      <c r="I48">
        <f>SLOPE('Cost of capital'!B63:B110, 'Cost of capital'!F63:'Cost of capital'!F110)</f>
        <v>-3.9846336900600549E-2</v>
      </c>
      <c r="J48">
        <f>SLOPE('Cost of capital'!C63:C110, 'Cost of capital'!$F63:'Cost of capital'!$F110)</f>
        <v>0.14541501918227701</v>
      </c>
      <c r="K48">
        <f>SLOPE('Cost of capital'!D63:D110, 'Cost of capital'!$F63:'Cost of capital'!$F110)</f>
        <v>-5.3878693940435582E-2</v>
      </c>
      <c r="L48">
        <f>SLOPE('Cost of capital'!E63:E110, 'Cost of capital'!$F63:'Cost of capital'!$F110)</f>
        <v>0.31627912535743685</v>
      </c>
      <c r="M48">
        <f>SLOPE('Cost of capital'!F63:F110, 'Cost of capital'!$F63:'Cost of capital'!$F110)</f>
        <v>1</v>
      </c>
      <c r="N48">
        <f>SLOPE('Cost of capital'!G63:G110,'Cost of capital'!F63:F110)</f>
        <v>4.9772875878988975E-3</v>
      </c>
    </row>
    <row r="49" spans="1:14">
      <c r="A49" s="76">
        <v>-2.6499302649930168E-2</v>
      </c>
      <c r="C49" s="73">
        <f>'Cost of capital'!F63-'Cost of capital'!G63</f>
        <v>7.3599999999999999E-2</v>
      </c>
      <c r="H49" s="2" t="str">
        <f>TEXT('Cost of capital'!A64,"mmm yyyy")&amp;" - "&amp;TEXT('Cost of capital'!A111,"mmm yyyy")</f>
        <v>Dec 2008 - Jan 2005</v>
      </c>
      <c r="I49">
        <f>SLOPE('Cost of capital'!B64:B111, 'Cost of capital'!F64:'Cost of capital'!F111)</f>
        <v>-5.5979218101165781E-2</v>
      </c>
      <c r="J49">
        <f>SLOPE('Cost of capital'!C64:C111, 'Cost of capital'!$F64:'Cost of capital'!$F111)</f>
        <v>0.11882918331963993</v>
      </c>
      <c r="K49">
        <f>SLOPE('Cost of capital'!D64:D111, 'Cost of capital'!$F64:'Cost of capital'!$F111)</f>
        <v>-4.8734811835680104E-2</v>
      </c>
      <c r="L49">
        <f>SLOPE('Cost of capital'!E64:E111, 'Cost of capital'!$F64:'Cost of capital'!$F111)</f>
        <v>0.20330115193363743</v>
      </c>
      <c r="M49">
        <f>SLOPE('Cost of capital'!F64:F111, 'Cost of capital'!$F64:'Cost of capital'!$F111)</f>
        <v>1</v>
      </c>
      <c r="N49">
        <f>SLOPE('Cost of capital'!G64:G111,'Cost of capital'!F64:F111)</f>
        <v>5.9628019325281226E-3</v>
      </c>
    </row>
    <row r="50" spans="1:14">
      <c r="A50" s="76">
        <v>-3.1081081081081097E-2</v>
      </c>
      <c r="C50" s="73">
        <f>'Cost of capital'!F64-'Cost of capital'!G64</f>
        <v>3.8600000000000002E-2</v>
      </c>
      <c r="H50" s="2" t="str">
        <f>TEXT('Cost of capital'!A65,"mmm yyyy")&amp;" - "&amp;TEXT('Cost of capital'!A112,"mmm yyyy")</f>
        <v>Nov 2008 - Dec 2004</v>
      </c>
      <c r="I50">
        <f>SLOPE('Cost of capital'!B65:B112, 'Cost of capital'!F65:'Cost of capital'!F112)</f>
        <v>-1.6677725626623847E-2</v>
      </c>
      <c r="J50">
        <f>SLOPE('Cost of capital'!C65:C112, 'Cost of capital'!$F65:'Cost of capital'!$F112)</f>
        <v>0.2052123878179852</v>
      </c>
      <c r="K50">
        <f>SLOPE('Cost of capital'!D65:D112, 'Cost of capital'!$F65:'Cost of capital'!$F112)</f>
        <v>-6.79639184832318E-2</v>
      </c>
      <c r="L50">
        <f>SLOPE('Cost of capital'!E65:E112, 'Cost of capital'!$F65:'Cost of capital'!$F112)</f>
        <v>0.26246427435422726</v>
      </c>
      <c r="M50">
        <f>SLOPE('Cost of capital'!F65:F112, 'Cost of capital'!$F65:'Cost of capital'!$F112)</f>
        <v>1</v>
      </c>
      <c r="N50">
        <f>SLOPE('Cost of capital'!G65:G112,'Cost of capital'!F65:F112)</f>
        <v>6.8822569891550597E-3</v>
      </c>
    </row>
    <row r="51" spans="1:14">
      <c r="A51" s="76">
        <v>-3.2047089601046297E-2</v>
      </c>
      <c r="C51" s="73">
        <f>'Cost of capital'!F65-'Cost of capital'!G65</f>
        <v>6.6E-3</v>
      </c>
      <c r="H51" s="2" t="str">
        <f>TEXT('Cost of capital'!A66,"mmm yyyy")&amp;" - "&amp;TEXT('Cost of capital'!A113,"mmm yyyy")</f>
        <v>Oct 2008 - Nov 2004</v>
      </c>
      <c r="I51">
        <f>SLOPE('Cost of capital'!B66:B113, 'Cost of capital'!F66:'Cost of capital'!F113)</f>
        <v>-0.29917428986773992</v>
      </c>
      <c r="J51">
        <f>SLOPE('Cost of capital'!C66:C113, 'Cost of capital'!$F66:'Cost of capital'!$F113)</f>
        <v>5.3638410687477593E-2</v>
      </c>
      <c r="K51">
        <f>SLOPE('Cost of capital'!D66:D113, 'Cost of capital'!$F66:'Cost of capital'!$F113)</f>
        <v>-0.13831172889874899</v>
      </c>
      <c r="L51">
        <f>SLOPE('Cost of capital'!E66:E113, 'Cost of capital'!$F66:'Cost of capital'!$F113)</f>
        <v>0.15550324805368729</v>
      </c>
      <c r="M51">
        <f>SLOPE('Cost of capital'!F66:F113, 'Cost of capital'!$F66:'Cost of capital'!$F113)</f>
        <v>1</v>
      </c>
      <c r="N51">
        <f>SLOPE('Cost of capital'!G66:G113,'Cost of capital'!F66:F113)</f>
        <v>6.1949899962642401E-3</v>
      </c>
    </row>
    <row r="52" spans="1:14">
      <c r="A52" s="76">
        <v>4.8696844993141308E-2</v>
      </c>
      <c r="C52" s="73">
        <f>'Cost of capital'!F66-'Cost of capital'!G66</f>
        <v>-8.2599999999999993E-2</v>
      </c>
      <c r="H52" s="2" t="str">
        <f>TEXT('Cost of capital'!A67,"mmm yyyy")&amp;" - "&amp;TEXT('Cost of capital'!A114,"mmm yyyy")</f>
        <v>Sep 2008 - Oct 2004</v>
      </c>
      <c r="I52">
        <f>SLOPE('Cost of capital'!B67:B114, 'Cost of capital'!F67:'Cost of capital'!F114)</f>
        <v>-0.22821149414385808</v>
      </c>
      <c r="J52">
        <f>SLOPE('Cost of capital'!C67:C114, 'Cost of capital'!$F67:'Cost of capital'!$F114)</f>
        <v>5.1826675987929158E-2</v>
      </c>
      <c r="K52">
        <f>SLOPE('Cost of capital'!D67:D114, 'Cost of capital'!$F67:'Cost of capital'!$F114)</f>
        <v>-5.5559306136567115E-2</v>
      </c>
      <c r="L52">
        <f>SLOPE('Cost of capital'!E67:E114, 'Cost of capital'!$F67:'Cost of capital'!$F114)</f>
        <v>0.39529035438950555</v>
      </c>
      <c r="M52">
        <f>SLOPE('Cost of capital'!F67:F114, 'Cost of capital'!$F67:'Cost of capital'!$F114)</f>
        <v>1</v>
      </c>
      <c r="N52">
        <f>SLOPE('Cost of capital'!G67:G114,'Cost of capital'!F67:F114)</f>
        <v>4.8830297873760243E-3</v>
      </c>
    </row>
    <row r="53" spans="1:14">
      <c r="A53" s="76">
        <v>-0.19313779745434423</v>
      </c>
      <c r="C53" s="73">
        <f>'Cost of capital'!F67-'Cost of capital'!G67</f>
        <v>-7.1500000000000008E-2</v>
      </c>
      <c r="H53" s="2" t="str">
        <f>TEXT('Cost of capital'!A68,"mmm yyyy")&amp;" - "&amp;TEXT('Cost of capital'!A115,"mmm yyyy")</f>
        <v>Aug 2008 - Sep 2004</v>
      </c>
      <c r="I53">
        <f>SLOPE('Cost of capital'!B68:B115, 'Cost of capital'!F68:'Cost of capital'!F115)</f>
        <v>-0.4128877629535726</v>
      </c>
      <c r="J53">
        <f>SLOPE('Cost of capital'!C68:C115, 'Cost of capital'!$F68:'Cost of capital'!$F115)</f>
        <v>-7.1188727624750758E-2</v>
      </c>
      <c r="K53">
        <f>SLOPE('Cost of capital'!D68:D115, 'Cost of capital'!$F68:'Cost of capital'!$F115)</f>
        <v>-5.4434521161569861E-2</v>
      </c>
      <c r="L53">
        <f>SLOPE('Cost of capital'!E68:E115, 'Cost of capital'!$F68:'Cost of capital'!$F115)</f>
        <v>0.39069445851276707</v>
      </c>
      <c r="M53">
        <f>SLOPE('Cost of capital'!F68:F115, 'Cost of capital'!$F68:'Cost of capital'!$F115)</f>
        <v>1</v>
      </c>
      <c r="N53">
        <f>SLOPE('Cost of capital'!G68:G115,'Cost of capital'!F68:F115)</f>
        <v>3.5763616446052508E-3</v>
      </c>
    </row>
    <row r="54" spans="1:14">
      <c r="A54" s="76">
        <v>-0.12873674059787843</v>
      </c>
      <c r="C54" s="73">
        <f>'Cost of capital'!F68-'Cost of capital'!G68</f>
        <v>-1.1899999999999999E-2</v>
      </c>
      <c r="H54" s="2" t="str">
        <f>TEXT('Cost of capital'!A69,"mmm yyyy")&amp;" - "&amp;TEXT('Cost of capital'!A116,"mmm yyyy")</f>
        <v>Jul 2008 - Aug 2004</v>
      </c>
      <c r="I54">
        <f>SLOPE('Cost of capital'!B69:B116, 'Cost of capital'!F69:'Cost of capital'!F116)</f>
        <v>-0.43360090044734395</v>
      </c>
      <c r="J54">
        <f>SLOPE('Cost of capital'!C69:C116, 'Cost of capital'!$F69:'Cost of capital'!$F116)</f>
        <v>-9.1835875434133324E-2</v>
      </c>
      <c r="K54">
        <f>SLOPE('Cost of capital'!D69:D116, 'Cost of capital'!$F69:'Cost of capital'!$F116)</f>
        <v>-6.5398769428894984E-2</v>
      </c>
      <c r="L54">
        <f>SLOPE('Cost of capital'!E69:E116, 'Cost of capital'!$F69:'Cost of capital'!$F116)</f>
        <v>0.38822244801538147</v>
      </c>
      <c r="M54">
        <f>SLOPE('Cost of capital'!F69:F116, 'Cost of capital'!$F69:'Cost of capital'!$F116)</f>
        <v>1</v>
      </c>
      <c r="N54">
        <f>SLOPE('Cost of capital'!G69:G116,'Cost of capital'!F69:F116)</f>
        <v>2.9952572217971955E-3</v>
      </c>
    </row>
    <row r="55" spans="1:14">
      <c r="A55" s="76">
        <v>9.1004734350341732E-2</v>
      </c>
      <c r="C55" s="73">
        <f>'Cost of capital'!F69-'Cost of capital'!G69</f>
        <v>-5.1100000000000007E-2</v>
      </c>
      <c r="H55" s="2" t="str">
        <f>TEXT('Cost of capital'!A70,"mmm yyyy")&amp;" - "&amp;TEXT('Cost of capital'!A117,"mmm yyyy")</f>
        <v>Jun 2008 - Jul 2004</v>
      </c>
      <c r="I55">
        <f>SLOPE('Cost of capital'!B70:B117, 'Cost of capital'!F70:'Cost of capital'!F117)</f>
        <v>-0.40008103483394736</v>
      </c>
      <c r="J55">
        <f>SLOPE('Cost of capital'!C70:C117, 'Cost of capital'!$F70:'Cost of capital'!$F117)</f>
        <v>-7.2765430857835267E-2</v>
      </c>
      <c r="K55">
        <f>SLOPE('Cost of capital'!D70:D117, 'Cost of capital'!$F70:'Cost of capital'!$F117)</f>
        <v>-9.6436128640862914E-2</v>
      </c>
      <c r="L55">
        <f>SLOPE('Cost of capital'!E70:E117, 'Cost of capital'!$F70:'Cost of capital'!$F117)</f>
        <v>0.26207040740059556</v>
      </c>
      <c r="M55">
        <f>SLOPE('Cost of capital'!F70:F117, 'Cost of capital'!$F70:'Cost of capital'!$F117)</f>
        <v>1</v>
      </c>
      <c r="N55">
        <f>SLOPE('Cost of capital'!G70:G117,'Cost of capital'!F70:F117)</f>
        <v>1.8402033467439327E-3</v>
      </c>
    </row>
    <row r="56" spans="1:14">
      <c r="A56" s="76">
        <v>8.1342434584755541E-2</v>
      </c>
      <c r="C56" s="73">
        <f>'Cost of capital'!F70-'Cost of capital'!G70</f>
        <v>4.3400000000000001E-2</v>
      </c>
      <c r="H56" s="2" t="str">
        <f>TEXT('Cost of capital'!A71,"mmm yyyy")&amp;" - "&amp;TEXT('Cost of capital'!A118,"mmm yyyy")</f>
        <v>May 2008 - Jun 2004</v>
      </c>
      <c r="I56">
        <f>SLOPE('Cost of capital'!B71:B118, 'Cost of capital'!F71:'Cost of capital'!F118)</f>
        <v>-0.40896155210123897</v>
      </c>
      <c r="J56">
        <f>SLOPE('Cost of capital'!C71:C118, 'Cost of capital'!$F71:'Cost of capital'!$F118)</f>
        <v>-6.3597382354494872E-2</v>
      </c>
      <c r="K56">
        <f>SLOPE('Cost of capital'!D71:D118, 'Cost of capital'!$F71:'Cost of capital'!$F118)</f>
        <v>-1.5815950013990828E-3</v>
      </c>
      <c r="L56">
        <f>SLOPE('Cost of capital'!E71:E118, 'Cost of capital'!$F71:'Cost of capital'!$F118)</f>
        <v>0.32035003830353637</v>
      </c>
      <c r="M56">
        <f>SLOPE('Cost of capital'!F71:F118, 'Cost of capital'!$F71:'Cost of capital'!$F118)</f>
        <v>1</v>
      </c>
      <c r="N56">
        <f>SLOPE('Cost of capital'!G71:G118,'Cost of capital'!F71:F118)</f>
        <v>2.5823403814909151E-3</v>
      </c>
    </row>
    <row r="57" spans="1:14">
      <c r="A57" s="76">
        <v>2.8671737858396718E-2</v>
      </c>
      <c r="C57" s="73">
        <f>'Cost of capital'!F71-'Cost of capital'!G71</f>
        <v>-2.3E-2</v>
      </c>
      <c r="H57" s="2" t="str">
        <f>TEXT('Cost of capital'!A72,"mmm yyyy")&amp;" - "&amp;TEXT('Cost of capital'!A119,"mmm yyyy")</f>
        <v>Apr 2008 - May 2004</v>
      </c>
      <c r="I57">
        <f>SLOPE('Cost of capital'!B72:B119, 'Cost of capital'!F72:'Cost of capital'!F119)</f>
        <v>-0.33365075072031142</v>
      </c>
      <c r="J57">
        <f>SLOPE('Cost of capital'!C72:C119, 'Cost of capital'!$F72:'Cost of capital'!$F119)</f>
        <v>7.7207074858095692E-2</v>
      </c>
      <c r="K57">
        <f>SLOPE('Cost of capital'!D72:D119, 'Cost of capital'!$F72:'Cost of capital'!$F119)</f>
        <v>-2.1647111506423555E-3</v>
      </c>
      <c r="L57">
        <f>SLOPE('Cost of capital'!E72:E119, 'Cost of capital'!$F72:'Cost of capital'!$F119)</f>
        <v>0.37395228575337941</v>
      </c>
      <c r="M57">
        <f>SLOPE('Cost of capital'!F72:F119, 'Cost of capital'!$F72:'Cost of capital'!$F119)</f>
        <v>1</v>
      </c>
      <c r="N57">
        <f>SLOPE('Cost of capital'!G72:G119,'Cost of capital'!F72:F119)</f>
        <v>1.7578963221513808E-3</v>
      </c>
    </row>
    <row r="58" spans="1:14">
      <c r="A58" s="76">
        <v>5.5589870290302601E-2</v>
      </c>
      <c r="C58" s="73">
        <f>'Cost of capital'!F72-'Cost of capital'!G72</f>
        <v>-1.7500000000000002E-2</v>
      </c>
      <c r="H58" s="2" t="str">
        <f>TEXT('Cost of capital'!A73,"mmm yyyy")&amp;" - "&amp;TEXT('Cost of capital'!A120,"mmm yyyy")</f>
        <v>Mar 2008 - Apr 2004</v>
      </c>
      <c r="I58">
        <f>SLOPE('Cost of capital'!B73:B120, 'Cost of capital'!F73:'Cost of capital'!F120)</f>
        <v>-0.32139502950360072</v>
      </c>
      <c r="J58">
        <f>SLOPE('Cost of capital'!C73:C120, 'Cost of capital'!$F73:'Cost of capital'!$F120)</f>
        <v>6.6376777440856669E-2</v>
      </c>
      <c r="K58">
        <f>SLOPE('Cost of capital'!D73:D120, 'Cost of capital'!$F73:'Cost of capital'!$F120)</f>
        <v>-3.6749356078249584E-2</v>
      </c>
      <c r="L58">
        <f>SLOPE('Cost of capital'!E73:E120, 'Cost of capital'!$F73:'Cost of capital'!$F120)</f>
        <v>0.36708958892640015</v>
      </c>
      <c r="M58">
        <f>SLOPE('Cost of capital'!F73:F120, 'Cost of capital'!$F73:'Cost of capital'!$F120)</f>
        <v>1</v>
      </c>
      <c r="N58">
        <f>SLOPE('Cost of capital'!G73:G120,'Cost of capital'!F73:F120)</f>
        <v>1.0339503938686556E-3</v>
      </c>
    </row>
    <row r="59" spans="1:14">
      <c r="A59" s="76">
        <v>7.2185430463576283E-2</v>
      </c>
      <c r="C59" s="73">
        <f>'Cost of capital'!F73-'Cost of capital'!G73</f>
        <v>1.6299999999999999E-2</v>
      </c>
      <c r="H59" s="2" t="str">
        <f>TEXT('Cost of capital'!A74,"mmm yyyy")&amp;" - "&amp;TEXT('Cost of capital'!A121,"mmm yyyy")</f>
        <v>Feb 2008 - Mar 2004</v>
      </c>
      <c r="I59">
        <f>SLOPE('Cost of capital'!B74:B121, 'Cost of capital'!F74:'Cost of capital'!F121)</f>
        <v>-0.3220555755356278</v>
      </c>
      <c r="J59">
        <f>SLOPE('Cost of capital'!C74:C121, 'Cost of capital'!$F74:'Cost of capital'!$F121)</f>
        <v>6.6139426187789022E-2</v>
      </c>
      <c r="K59">
        <f>SLOPE('Cost of capital'!D74:D121, 'Cost of capital'!$F74:'Cost of capital'!$F121)</f>
        <v>-3.5683015915345215E-2</v>
      </c>
      <c r="L59">
        <f>SLOPE('Cost of capital'!E74:E121, 'Cost of capital'!$F74:'Cost of capital'!$F121)</f>
        <v>0.36720261578708657</v>
      </c>
      <c r="M59">
        <f>SLOPE('Cost of capital'!F74:F121, 'Cost of capital'!$F74:'Cost of capital'!$F121)</f>
        <v>1</v>
      </c>
      <c r="N59">
        <f>SLOPE('Cost of capital'!G74:G121,'Cost of capital'!F74:F121)</f>
        <v>1.1017278310528546E-3</v>
      </c>
    </row>
    <row r="60" spans="1:14">
      <c r="A60" s="76">
        <v>5.3733426378227422E-2</v>
      </c>
      <c r="C60" s="73">
        <f>'Cost of capital'!F74-'Cost of capital'!G74</f>
        <v>7.6999999999999985E-2</v>
      </c>
      <c r="H60" s="2" t="str">
        <f>TEXT('Cost of capital'!A75,"mmm yyyy")&amp;" - "&amp;TEXT('Cost of capital'!A122,"mmm yyyy")</f>
        <v>Jan 2008 - Feb 2004</v>
      </c>
      <c r="I60">
        <f>SLOPE('Cost of capital'!B75:B122, 'Cost of capital'!F75:'Cost of capital'!F122)</f>
        <v>-0.34483460706561747</v>
      </c>
      <c r="J60">
        <f>SLOPE('Cost of capital'!C75:C122, 'Cost of capital'!$F75:'Cost of capital'!$F122)</f>
        <v>5.677126372495394E-2</v>
      </c>
      <c r="K60">
        <f>SLOPE('Cost of capital'!D75:D122, 'Cost of capital'!$F75:'Cost of capital'!$F122)</f>
        <v>-6.0619487867720021E-2</v>
      </c>
      <c r="L60">
        <f>SLOPE('Cost of capital'!E75:E122, 'Cost of capital'!$F75:'Cost of capital'!$F122)</f>
        <v>0.24494117355553227</v>
      </c>
      <c r="M60">
        <f>SLOPE('Cost of capital'!F75:F122, 'Cost of capital'!$F75:'Cost of capital'!$F122)</f>
        <v>1</v>
      </c>
      <c r="N60">
        <f>SLOPE('Cost of capital'!G75:G122,'Cost of capital'!F75:F122)</f>
        <v>2.4875887780819472E-3</v>
      </c>
    </row>
    <row r="61" spans="1:14">
      <c r="A61" s="76">
        <v>-2.1843003412969297E-2</v>
      </c>
      <c r="C61" s="73">
        <f>'Cost of capital'!F75-'Cost of capital'!G75</f>
        <v>2.58E-2</v>
      </c>
      <c r="H61" s="2" t="str">
        <f>TEXT('Cost of capital'!A76,"mmm yyyy")&amp;" - "&amp;TEXT('Cost of capital'!A123,"mmm yyyy")</f>
        <v>Dec 2007 - Jan 2004</v>
      </c>
      <c r="I61">
        <f>SLOPE('Cost of capital'!B76:B123, 'Cost of capital'!F76:'Cost of capital'!F123)</f>
        <v>-0.25124167156905691</v>
      </c>
      <c r="J61">
        <f>SLOPE('Cost of capital'!C76:C123, 'Cost of capital'!$F76:'Cost of capital'!$F123)</f>
        <v>5.7919955980698233E-2</v>
      </c>
      <c r="K61">
        <f>SLOPE('Cost of capital'!D76:D123, 'Cost of capital'!$F76:'Cost of capital'!$F123)</f>
        <v>-0.10586075566334371</v>
      </c>
      <c r="L61">
        <f>SLOPE('Cost of capital'!E76:E123, 'Cost of capital'!$F76:'Cost of capital'!$F123)</f>
        <v>0.19981767668915162</v>
      </c>
      <c r="M61">
        <f>SLOPE('Cost of capital'!F76:F123, 'Cost of capital'!$F76:'Cost of capital'!$F123)</f>
        <v>1</v>
      </c>
      <c r="N61">
        <f>SLOPE('Cost of capital'!G76:G123,'Cost of capital'!F76:F123)</f>
        <v>2.6191743147128393E-3</v>
      </c>
    </row>
    <row r="62" spans="1:14">
      <c r="A62" s="76">
        <v>-0.10177805027590425</v>
      </c>
      <c r="C62" s="73">
        <f>'Cost of capital'!F76-'Cost of capital'!G76</f>
        <v>-9.4299999999999995E-2</v>
      </c>
      <c r="H62" s="2" t="str">
        <f>TEXT('Cost of capital'!A77,"mmm yyyy")&amp;" - "&amp;TEXT('Cost of capital'!A124,"mmm yyyy")</f>
        <v>Nov 2007 - Dec 2003</v>
      </c>
      <c r="I62">
        <f>SLOPE('Cost of capital'!B77:B124, 'Cost of capital'!F77:'Cost of capital'!F124)</f>
        <v>-0.45630760822579036</v>
      </c>
      <c r="J62">
        <f>SLOPE('Cost of capital'!C77:C124, 'Cost of capital'!$F77:'Cost of capital'!$F124)</f>
        <v>4.0596004909818545E-2</v>
      </c>
      <c r="K62">
        <f>SLOPE('Cost of capital'!D77:D124, 'Cost of capital'!$F77:'Cost of capital'!$F124)</f>
        <v>1.1623390896378949E-2</v>
      </c>
      <c r="L62">
        <f>SLOPE('Cost of capital'!E77:E124, 'Cost of capital'!$F77:'Cost of capital'!$F124)</f>
        <v>0.17088406545939638</v>
      </c>
      <c r="M62">
        <f>SLOPE('Cost of capital'!F77:F124, 'Cost of capital'!$F77:'Cost of capital'!$F124)</f>
        <v>1</v>
      </c>
      <c r="N62">
        <f>SLOPE('Cost of capital'!G77:G124,'Cost of capital'!F77:F124)</f>
        <v>1.6226926930730621E-3</v>
      </c>
    </row>
    <row r="63" spans="1:14">
      <c r="A63" s="76">
        <v>8.3001328021248266E-2</v>
      </c>
      <c r="C63" s="73">
        <f>'Cost of capital'!F77-'Cost of capital'!G77</f>
        <v>-6.2199999999999998E-2</v>
      </c>
      <c r="H63" s="2" t="str">
        <f>TEXT('Cost of capital'!A78,"mmm yyyy")&amp;" - "&amp;TEXT('Cost of capital'!A125,"mmm yyyy")</f>
        <v>Oct 2007 - Nov 2003</v>
      </c>
      <c r="I63">
        <f>SLOPE('Cost of capital'!B78:B125, 'Cost of capital'!F78:'Cost of capital'!F125)</f>
        <v>-0.45210019980417082</v>
      </c>
      <c r="J63">
        <f>SLOPE('Cost of capital'!C78:C125, 'Cost of capital'!$F78:'Cost of capital'!$F125)</f>
        <v>-4.8599084667845766E-2</v>
      </c>
      <c r="K63">
        <f>SLOPE('Cost of capital'!D78:D125, 'Cost of capital'!$F78:'Cost of capital'!$F125)</f>
        <v>-8.0291092112047796E-2</v>
      </c>
      <c r="L63">
        <f>SLOPE('Cost of capital'!E78:E125, 'Cost of capital'!$F78:'Cost of capital'!$F125)</f>
        <v>-2.0942354549815641E-2</v>
      </c>
      <c r="M63">
        <f>SLOPE('Cost of capital'!F78:F125, 'Cost of capital'!$F78:'Cost of capital'!$F125)</f>
        <v>1</v>
      </c>
      <c r="N63">
        <f>SLOPE('Cost of capital'!G78:G125,'Cost of capital'!F78:F125)</f>
        <v>8.9390399965740485E-4</v>
      </c>
    </row>
    <row r="64" spans="1:14">
      <c r="A64" s="76">
        <v>7.5714285714285845E-2</v>
      </c>
      <c r="C64" s="73">
        <f>'Cost of capital'!F78-'Cost of capital'!G78</f>
        <v>-2.1299999999999999E-2</v>
      </c>
      <c r="H64" s="2" t="str">
        <f>TEXT('Cost of capital'!A79,"mmm yyyy")&amp;" - "&amp;TEXT('Cost of capital'!A126,"mmm yyyy")</f>
        <v>Sep 2007 - Oct 2003</v>
      </c>
      <c r="I64">
        <f>SLOPE('Cost of capital'!B79:B126, 'Cost of capital'!F79:'Cost of capital'!F126)</f>
        <v>-0.41726319318185767</v>
      </c>
      <c r="J64">
        <f>SLOPE('Cost of capital'!C79:C126, 'Cost of capital'!$F79:'Cost of capital'!$F126)</f>
        <v>-6.1217573173552836E-2</v>
      </c>
      <c r="K64">
        <f>SLOPE('Cost of capital'!D79:D126, 'Cost of capital'!$F79:'Cost of capital'!$F126)</f>
        <v>-0.1382500151033289</v>
      </c>
      <c r="L64">
        <f>SLOPE('Cost of capital'!E79:E126, 'Cost of capital'!$F79:'Cost of capital'!$F126)</f>
        <v>-4.2481040771826066E-2</v>
      </c>
      <c r="M64">
        <f>SLOPE('Cost of capital'!F79:F126, 'Cost of capital'!$F79:'Cost of capital'!$F126)</f>
        <v>1</v>
      </c>
      <c r="N64">
        <f>SLOPE('Cost of capital'!G79:G126,'Cost of capital'!F79:F126)</f>
        <v>5.4615023013181087E-4</v>
      </c>
    </row>
    <row r="65" spans="1:14">
      <c r="A65" s="76">
        <v>-1.6853932584269704E-2</v>
      </c>
      <c r="C65" s="73">
        <f>'Cost of capital'!F79-'Cost of capital'!G79</f>
        <v>-2.0299999999999999E-2</v>
      </c>
      <c r="H65" s="2" t="str">
        <f>TEXT('Cost of capital'!A80,"mmm yyyy")&amp;" - "&amp;TEXT('Cost of capital'!A127,"mmm yyyy")</f>
        <v>Aug 2007 - Sep 2003</v>
      </c>
      <c r="I65">
        <f>SLOPE('Cost of capital'!B80:B127, 'Cost of capital'!F80:'Cost of capital'!F127)</f>
        <v>-0.41600818767552172</v>
      </c>
      <c r="J65">
        <f>SLOPE('Cost of capital'!C80:C127, 'Cost of capital'!$F80:'Cost of capital'!$F127)</f>
        <v>-8.2408363604812393E-2</v>
      </c>
      <c r="K65">
        <f>SLOPE('Cost of capital'!D80:D127, 'Cost of capital'!$F80:'Cost of capital'!$F127)</f>
        <v>-0.13778628658153194</v>
      </c>
      <c r="L65">
        <f>SLOPE('Cost of capital'!E80:E127, 'Cost of capital'!$F80:'Cost of capital'!$F127)</f>
        <v>-4.9313271684337891E-2</v>
      </c>
      <c r="M65">
        <f>SLOPE('Cost of capital'!F80:F127, 'Cost of capital'!$F80:'Cost of capital'!$F127)</f>
        <v>1</v>
      </c>
      <c r="N65">
        <f>SLOPE('Cost of capital'!G80:G127,'Cost of capital'!F80:F127)</f>
        <v>-7.7700333874204709E-5</v>
      </c>
    </row>
    <row r="66" spans="1:14">
      <c r="A66" s="76">
        <v>-8.1882656350741434E-2</v>
      </c>
      <c r="C66" s="73">
        <f>'Cost of capital'!F80-'Cost of capital'!G80</f>
        <v>7.4000000000000003E-3</v>
      </c>
      <c r="H66" s="2" t="str">
        <f>TEXT('Cost of capital'!A81,"mmm yyyy")&amp;" - "&amp;TEXT('Cost of capital'!A128,"mmm yyyy")</f>
        <v>Jul 2007 - Aug 2003</v>
      </c>
      <c r="I66">
        <f>SLOPE('Cost of capital'!B81:B128, 'Cost of capital'!F81:'Cost of capital'!F128)</f>
        <v>-0.4807615244231595</v>
      </c>
      <c r="J66">
        <f>SLOPE('Cost of capital'!C81:C128, 'Cost of capital'!$F81:'Cost of capital'!$F128)</f>
        <v>-9.7203153655577676E-2</v>
      </c>
      <c r="K66">
        <f>SLOPE('Cost of capital'!D81:D128, 'Cost of capital'!$F81:'Cost of capital'!$F128)</f>
        <v>-0.12664248706514747</v>
      </c>
      <c r="L66">
        <f>SLOPE('Cost of capital'!E81:E128, 'Cost of capital'!$F81:'Cost of capital'!$F128)</f>
        <v>-5.5904272403282843E-2</v>
      </c>
      <c r="M66">
        <f>SLOPE('Cost of capital'!F81:F128, 'Cost of capital'!$F81:'Cost of capital'!$F128)</f>
        <v>1</v>
      </c>
      <c r="N66">
        <f>SLOPE('Cost of capital'!G81:G128,'Cost of capital'!F81:F128)</f>
        <v>1.7274414756543132E-4</v>
      </c>
    </row>
    <row r="67" spans="1:14">
      <c r="A67" s="76">
        <v>1.6382699868938477E-2</v>
      </c>
      <c r="C67" s="73">
        <f>'Cost of capital'!F81-'Cost of capital'!G81</f>
        <v>0.08</v>
      </c>
      <c r="H67" s="2" t="str">
        <f>TEXT('Cost of capital'!A82,"mmm yyyy")&amp;" - "&amp;TEXT('Cost of capital'!A129,"mmm yyyy")</f>
        <v>Jun 2007 - Jul 2003</v>
      </c>
      <c r="I67">
        <f>SLOPE('Cost of capital'!B82:B129, 'Cost of capital'!F82:'Cost of capital'!F129)</f>
        <v>-0.47856457718260575</v>
      </c>
      <c r="J67">
        <f>SLOPE('Cost of capital'!C82:C129, 'Cost of capital'!$F82:'Cost of capital'!$F129)</f>
        <v>-0.11634292787334144</v>
      </c>
      <c r="K67">
        <f>SLOPE('Cost of capital'!D82:D129, 'Cost of capital'!$F82:'Cost of capital'!$F129)</f>
        <v>-8.5075468802317741E-2</v>
      </c>
      <c r="L67">
        <f>SLOPE('Cost of capital'!E82:E129, 'Cost of capital'!$F82:'Cost of capital'!$F129)</f>
        <v>-5.8204928894751269E-2</v>
      </c>
      <c r="M67">
        <f>SLOPE('Cost of capital'!F82:F129, 'Cost of capital'!$F82:'Cost of capital'!$F129)</f>
        <v>1</v>
      </c>
      <c r="N67">
        <f>SLOPE('Cost of capital'!G82:G129,'Cost of capital'!F82:F129)</f>
        <v>4.0298149491119233E-4</v>
      </c>
    </row>
    <row r="68" spans="1:14">
      <c r="A68" s="76">
        <v>0.14307116104868922</v>
      </c>
      <c r="C68" s="73">
        <f>'Cost of capital'!F82-'Cost of capital'!G82</f>
        <v>-7.4700000000000003E-2</v>
      </c>
      <c r="I68" t="s">
        <v>82</v>
      </c>
      <c r="J68" t="s">
        <v>83</v>
      </c>
      <c r="K68" t="s">
        <v>84</v>
      </c>
      <c r="L68" t="s">
        <v>85</v>
      </c>
      <c r="M68" t="s">
        <v>89</v>
      </c>
      <c r="N68" t="s">
        <v>87</v>
      </c>
    </row>
    <row r="69" spans="1:14">
      <c r="A69" s="76">
        <v>-0.11764705882352944</v>
      </c>
      <c r="C69" s="73">
        <f>'Cost of capital'!F83-'Cost of capital'!G83</f>
        <v>-0.1032</v>
      </c>
      <c r="H69" s="2" t="s">
        <v>88</v>
      </c>
      <c r="I69" s="81">
        <f>AVERAGE(I2:I67)</f>
        <v>7.6378472016721613E-2</v>
      </c>
      <c r="J69" s="81">
        <f>AVERAGE(J2:J67)</f>
        <v>8.8124466354101205E-2</v>
      </c>
      <c r="K69" s="81">
        <f t="shared" ref="K69:N69" si="0">AVERAGE(K2:K67)</f>
        <v>-6.7733788912101495E-2</v>
      </c>
      <c r="L69" s="81">
        <f t="shared" si="0"/>
        <v>0.26675818420072467</v>
      </c>
      <c r="M69" s="81">
        <f t="shared" si="0"/>
        <v>1</v>
      </c>
      <c r="N69" s="81">
        <f t="shared" si="0"/>
        <v>2.2125551231898474E-4</v>
      </c>
    </row>
    <row r="70" spans="1:14" ht="13" thickBot="1">
      <c r="A70" s="76">
        <v>4.705882352941182E-2</v>
      </c>
      <c r="C70" s="73">
        <f>'Cost of capital'!F84-'Cost of capital'!G84</f>
        <v>3.4099999999999998E-2</v>
      </c>
    </row>
    <row r="71" spans="1:14" ht="13" thickTop="1">
      <c r="A71" s="76">
        <v>-5.5555555555555691E-2</v>
      </c>
      <c r="C71" s="73">
        <f>'Cost of capital'!F85-'Cost of capital'!G85</f>
        <v>1.5300000000000001E-2</v>
      </c>
      <c r="E71" s="109"/>
      <c r="F71" s="110"/>
      <c r="G71" s="110"/>
      <c r="H71" s="110"/>
      <c r="I71" s="110"/>
      <c r="J71" s="110"/>
      <c r="K71" s="111"/>
    </row>
    <row r="72" spans="1:14">
      <c r="A72" s="76">
        <v>9.2077087794432577E-2</v>
      </c>
      <c r="C72" s="73">
        <f>'Cost of capital'!F86-'Cost of capital'!G86</f>
        <v>4.7399999999999998E-2</v>
      </c>
      <c r="E72" s="112"/>
      <c r="F72" s="113"/>
      <c r="G72" s="113"/>
      <c r="H72" s="113"/>
      <c r="I72" s="113"/>
      <c r="J72" s="113"/>
      <c r="K72" s="114"/>
    </row>
    <row r="73" spans="1:14">
      <c r="A73" s="76">
        <v>0.12983870967741939</v>
      </c>
      <c r="C73" s="73">
        <f>'Cost of capital'!F87-'Cost of capital'!G87</f>
        <v>-3.0200000000000001E-2</v>
      </c>
      <c r="E73" s="112"/>
      <c r="F73" s="118" t="s">
        <v>90</v>
      </c>
      <c r="G73" s="118"/>
      <c r="H73" s="118"/>
      <c r="I73" s="118"/>
      <c r="J73" s="118"/>
      <c r="K73" s="114"/>
    </row>
    <row r="74" spans="1:14">
      <c r="A74" s="76">
        <v>-0.12305516265912309</v>
      </c>
      <c r="C74" s="73">
        <f>'Cost of capital'!F88-'Cost of capital'!G88</f>
        <v>4.5999999999999999E-2</v>
      </c>
      <c r="E74" s="112"/>
      <c r="F74" s="118" t="s">
        <v>79</v>
      </c>
      <c r="G74" s="119">
        <f>AVERAGE(C2:C115)</f>
        <v>1.1703508771929822E-2</v>
      </c>
      <c r="H74" s="118"/>
      <c r="I74" s="118"/>
      <c r="J74" s="118"/>
      <c r="K74" s="114"/>
    </row>
    <row r="75" spans="1:14">
      <c r="A75" s="76">
        <v>-4.3948613928329827E-2</v>
      </c>
      <c r="C75" s="73">
        <f>'Cost of capital'!F89-'Cost of capital'!G89</f>
        <v>7.1399999999999991E-2</v>
      </c>
      <c r="E75" s="112"/>
      <c r="F75" s="118" t="s">
        <v>91</v>
      </c>
      <c r="G75" s="119">
        <v>4.0000000000000001E-3</v>
      </c>
      <c r="H75" s="118"/>
      <c r="I75" s="118"/>
      <c r="J75" s="118"/>
      <c r="K75" s="114"/>
    </row>
    <row r="76" spans="1:14">
      <c r="A76" s="76">
        <v>6.7658998646824564E-4</v>
      </c>
      <c r="C76" s="73">
        <f>'Cost of capital'!F90-'Cost of capital'!G90</f>
        <v>-2.1899999999999999E-2</v>
      </c>
      <c r="E76" s="112"/>
      <c r="F76" s="118"/>
      <c r="G76" s="118"/>
      <c r="H76" s="118"/>
      <c r="I76" s="118"/>
      <c r="J76" s="118"/>
      <c r="K76" s="114"/>
    </row>
    <row r="77" spans="1:14" ht="15">
      <c r="A77" s="76">
        <v>-0.12284866468842737</v>
      </c>
      <c r="C77" s="73">
        <f>'Cost of capital'!F91-'Cost of capital'!G91</f>
        <v>4.759999999999999E-2</v>
      </c>
      <c r="E77" s="112"/>
      <c r="F77" s="120" t="s">
        <v>92</v>
      </c>
      <c r="G77" s="131" t="s">
        <v>82</v>
      </c>
      <c r="H77" s="120" t="s">
        <v>83</v>
      </c>
      <c r="I77" s="120" t="s">
        <v>84</v>
      </c>
      <c r="J77" s="120" t="s">
        <v>85</v>
      </c>
      <c r="K77" s="114"/>
    </row>
    <row r="78" spans="1:14" ht="16" thickBot="1">
      <c r="A78" s="76">
        <v>2.9761904761904656E-3</v>
      </c>
      <c r="C78" s="73">
        <f>'Cost of capital'!F92-'Cost of capital'!G92</f>
        <v>-4.4000000000000004E-2</v>
      </c>
      <c r="E78" s="112"/>
      <c r="F78" s="120" t="s">
        <v>93</v>
      </c>
      <c r="G78" s="132">
        <f>G75+I69*G74</f>
        <v>4.8938961172342978E-3</v>
      </c>
      <c r="H78" s="121">
        <f>G75+G74*J69</f>
        <v>5.0313654649968582E-3</v>
      </c>
      <c r="I78" s="121">
        <f>G75+G74*K69</f>
        <v>3.2072770073111774E-3</v>
      </c>
      <c r="J78" s="121">
        <f>G75+G74*L69</f>
        <v>7.1220067487772522E-3</v>
      </c>
      <c r="K78" s="114"/>
    </row>
    <row r="79" spans="1:14" ht="15">
      <c r="A79" s="76">
        <v>8.4570690768237533E-2</v>
      </c>
      <c r="C79" s="73">
        <f>'Cost of capital'!F93-'Cost of capital'!G93</f>
        <v>5.4899999999999997E-2</v>
      </c>
      <c r="E79" s="112"/>
      <c r="F79" s="122"/>
      <c r="G79" s="133"/>
      <c r="H79" s="123"/>
      <c r="I79" s="123"/>
      <c r="J79" s="124"/>
      <c r="K79" s="114"/>
    </row>
    <row r="80" spans="1:14" ht="15">
      <c r="A80" s="76">
        <v>7.1230982019363731E-2</v>
      </c>
      <c r="C80" s="73">
        <f>'Cost of capital'!F94-'Cost of capital'!G94</f>
        <v>4.8799999999999996E-2</v>
      </c>
      <c r="E80" s="112"/>
      <c r="F80" s="125" t="s">
        <v>94</v>
      </c>
      <c r="G80" s="131"/>
      <c r="H80" s="118"/>
      <c r="I80" s="118"/>
      <c r="J80" s="126"/>
      <c r="K80" s="114"/>
    </row>
    <row r="81" spans="1:11" ht="15">
      <c r="A81" s="76">
        <v>-3.7924151696606678E-2</v>
      </c>
      <c r="C81" s="73">
        <f>'Cost of capital'!F95-'Cost of capital'!G95</f>
        <v>2.7400000000000001E-2</v>
      </c>
      <c r="E81" s="112"/>
      <c r="F81" s="125"/>
      <c r="G81" s="130">
        <f>(1+G78)^12 - 1</f>
        <v>6.0333540223563631E-2</v>
      </c>
      <c r="H81" s="118">
        <f t="shared" ref="H81:J81" si="1">(1+H78)^12 - 1</f>
        <v>6.2075492280604161E-2</v>
      </c>
      <c r="I81" s="118">
        <f t="shared" si="1"/>
        <v>3.9173552291550839E-2</v>
      </c>
      <c r="J81" s="126">
        <f t="shared" si="1"/>
        <v>8.8892560723281111E-2</v>
      </c>
      <c r="K81" s="114"/>
    </row>
    <row r="82" spans="1:11">
      <c r="A82" s="76">
        <v>-3.9761431411531323E-3</v>
      </c>
      <c r="C82" s="73">
        <f>'Cost of capital'!F96-'Cost of capital'!G96</f>
        <v>-4.3899999999999995E-2</v>
      </c>
      <c r="E82" s="112"/>
      <c r="F82" s="125"/>
      <c r="G82" s="118"/>
      <c r="H82" s="118"/>
      <c r="I82" s="118"/>
      <c r="J82" s="126"/>
      <c r="K82" s="114"/>
    </row>
    <row r="83" spans="1:11" ht="13" thickBot="1">
      <c r="A83" s="76">
        <v>-7.4233128834355844E-2</v>
      </c>
      <c r="C83" s="73">
        <f>'Cost of capital'!F97-'Cost of capital'!G97</f>
        <v>7.9500000000000001E-2</v>
      </c>
      <c r="E83" s="112"/>
      <c r="F83" s="127"/>
      <c r="G83" s="128"/>
      <c r="H83" s="128"/>
      <c r="I83" s="128"/>
      <c r="J83" s="129"/>
      <c r="K83" s="114"/>
    </row>
    <row r="84" spans="1:11">
      <c r="A84" s="76">
        <v>-1.7480409885473169E-2</v>
      </c>
      <c r="C84" s="73">
        <f>'Cost of capital'!F98-'Cost of capital'!G98</f>
        <v>3.3300000000000003E-2</v>
      </c>
      <c r="E84" s="112"/>
      <c r="F84" s="113"/>
      <c r="G84" s="113"/>
      <c r="H84" s="113"/>
      <c r="I84" s="113"/>
      <c r="J84" s="113"/>
      <c r="K84" s="114"/>
    </row>
    <row r="85" spans="1:11">
      <c r="A85" s="76">
        <v>-6.5868263473053412E-3</v>
      </c>
      <c r="C85" s="73">
        <f>'Cost of capital'!F99-'Cost of capital'!G99</f>
        <v>5.8099999999999999E-2</v>
      </c>
      <c r="E85" s="112"/>
      <c r="F85" s="113"/>
      <c r="G85" s="113"/>
      <c r="H85" s="113"/>
      <c r="I85" s="113"/>
      <c r="J85" s="113"/>
      <c r="K85" s="114"/>
    </row>
    <row r="86" spans="1:11">
      <c r="A86" s="76">
        <v>-0.15784165405950579</v>
      </c>
      <c r="C86" s="73">
        <f>'Cost of capital'!F100-'Cost of capital'!G100</f>
        <v>-2.6699999999999998E-2</v>
      </c>
      <c r="E86" s="112"/>
      <c r="F86" s="113"/>
      <c r="G86" s="113"/>
      <c r="H86" s="113"/>
      <c r="I86" s="113"/>
      <c r="J86" s="113"/>
      <c r="K86" s="114"/>
    </row>
    <row r="87" spans="1:11">
      <c r="A87" s="76">
        <v>0.12224108658743615</v>
      </c>
      <c r="C87" s="73">
        <f>'Cost of capital'!F101-'Cost of capital'!G101</f>
        <v>-1.3899999999999999E-2</v>
      </c>
      <c r="E87" s="112"/>
      <c r="F87" s="113"/>
      <c r="G87" s="113"/>
      <c r="H87" s="113"/>
      <c r="I87" s="113"/>
      <c r="J87" s="113"/>
      <c r="K87" s="114"/>
    </row>
    <row r="88" spans="1:11" ht="13" thickBot="1">
      <c r="A88" s="76">
        <v>4.3709391612522186E-2</v>
      </c>
      <c r="C88" s="73">
        <f>'Cost of capital'!F102-'Cost of capital'!G102</f>
        <v>-3.44E-2</v>
      </c>
      <c r="E88" s="115"/>
      <c r="F88" s="116"/>
      <c r="G88" s="116"/>
      <c r="H88" s="116"/>
      <c r="I88" s="116"/>
      <c r="J88" s="116"/>
      <c r="K88" s="117"/>
    </row>
    <row r="89" spans="1:11" ht="13" thickTop="1">
      <c r="A89" s="76">
        <v>-4.1878890775325472E-2</v>
      </c>
      <c r="C89" s="73">
        <f>'Cost of capital'!F103-'Cost of capital'!G103</f>
        <v>4.7E-2</v>
      </c>
    </row>
    <row r="90" spans="1:11">
      <c r="A90" s="76">
        <v>0.12333121424030513</v>
      </c>
      <c r="C90" s="73">
        <f>'Cost of capital'!F104-'Cost of capital'!G104</f>
        <v>-2.41E-2</v>
      </c>
    </row>
    <row r="91" spans="1:11">
      <c r="A91" s="76">
        <v>-0.132377275234418</v>
      </c>
      <c r="C91" s="73">
        <f>'Cost of capital'!F105-'Cost of capital'!G105</f>
        <v>4.53E-2</v>
      </c>
    </row>
    <row r="92" spans="1:11">
      <c r="A92" s="76">
        <v>0.17880364109232749</v>
      </c>
      <c r="C92" s="73">
        <f>'Cost of capital'!F106-'Cost of capital'!G106</f>
        <v>3.3599999999999998E-2</v>
      </c>
    </row>
    <row r="93" spans="1:11">
      <c r="A93" s="76">
        <v>-3.5131744040150514E-2</v>
      </c>
      <c r="C93" s="73">
        <f>'Cost of capital'!F107-'Cost of capital'!G107</f>
        <v>-4.1599999999999998E-2</v>
      </c>
    </row>
    <row r="94" spans="1:11">
      <c r="A94" s="76">
        <v>-7.2176949941792801E-2</v>
      </c>
      <c r="C94" s="73">
        <f>'Cost of capital'!F108-'Cost of capital'!G108</f>
        <v>3.4799999999999998E-2</v>
      </c>
    </row>
    <row r="95" spans="1:11">
      <c r="A95" s="76">
        <v>-2.2196926579396759E-2</v>
      </c>
      <c r="C95" s="73">
        <f>'Cost of capital'!F109-'Cost of capital'!G109</f>
        <v>5.9300000000000005E-2</v>
      </c>
    </row>
    <row r="96" spans="1:11">
      <c r="A96" s="76">
        <v>-2.4972253052164217E-2</v>
      </c>
      <c r="C96" s="73">
        <f>'Cost of capital'!F110-'Cost of capital'!G110</f>
        <v>5.8899999999999994E-2</v>
      </c>
    </row>
    <row r="97" spans="1:3">
      <c r="A97" s="76">
        <v>-5.6544502617801085E-2</v>
      </c>
      <c r="C97" s="73">
        <f>'Cost of capital'!F111-'Cost of capital'!G111</f>
        <v>7.1199999999999999E-2</v>
      </c>
    </row>
    <row r="98" spans="1:3">
      <c r="A98" s="76">
        <v>6.8830442081701193E-2</v>
      </c>
      <c r="C98" s="73">
        <f>'Cost of capital'!F112-'Cost of capital'!G112</f>
        <v>5.9199999999999996E-2</v>
      </c>
    </row>
    <row r="99" spans="1:3">
      <c r="A99" s="76">
        <v>0.53919035314384178</v>
      </c>
      <c r="C99" s="73">
        <f>'Cost of capital'!F113-'Cost of capital'!G113</f>
        <v>-6.2E-2</v>
      </c>
    </row>
    <row r="100" spans="1:3">
      <c r="A100" s="76">
        <v>-0.20642515379357496</v>
      </c>
      <c r="C100" s="73">
        <f>'Cost of capital'!F114-'Cost of capital'!G114</f>
        <v>-2.7300000000000001E-2</v>
      </c>
    </row>
    <row r="101" spans="1:3">
      <c r="A101" s="76">
        <v>-0.14941860465116275</v>
      </c>
      <c r="C101" s="73">
        <f>'Cost of capital'!F115-'Cost of capital'!G115</f>
        <v>2.7900000000000001E-2</v>
      </c>
    </row>
    <row r="102" spans="1:3">
      <c r="A102" s="76">
        <v>0</v>
      </c>
      <c r="C102" s="73">
        <f>'Cost of capital'!F116-'Cost of capital'!G116</f>
        <v>-2.98E-2</v>
      </c>
    </row>
    <row r="103" spans="1:3">
      <c r="A103" s="76">
        <v>-0.13393756294058412</v>
      </c>
      <c r="C103" s="73">
        <f>'Cost of capital'!F117-'Cost of capital'!G117</f>
        <v>6.6E-3</v>
      </c>
    </row>
    <row r="104" spans="1:3">
      <c r="A104" s="76">
        <v>3.7617554858934144E-2</v>
      </c>
      <c r="C104" s="73">
        <f>'Cost of capital'!F118-'Cost of capital'!G118</f>
        <v>4.7400000000000005E-2</v>
      </c>
    </row>
    <row r="105" spans="1:3">
      <c r="A105" s="76">
        <v>0.11995318899941498</v>
      </c>
      <c r="C105" s="73">
        <f>'Cost of capital'!F119-'Cost of capital'!G119</f>
        <v>6.93E-2</v>
      </c>
    </row>
    <row r="106" spans="1:3">
      <c r="A106" s="76">
        <v>-3.4985422740524408E-3</v>
      </c>
      <c r="C106" s="73">
        <f>'Cost of capital'!F120-'Cost of capital'!G120</f>
        <v>1.9999999999999966E-4</v>
      </c>
    </row>
    <row r="107" spans="1:3">
      <c r="A107" s="76">
        <v>4.0024257125530704E-2</v>
      </c>
      <c r="C107" s="73">
        <f>'Cost of capital'!F121-'Cost of capital'!G121</f>
        <v>1.3000000000000001E-2</v>
      </c>
    </row>
    <row r="108" spans="1:3">
      <c r="A108" s="76">
        <v>0.12482946793997263</v>
      </c>
      <c r="C108" s="73">
        <f>'Cost of capital'!F122-'Cost of capital'!G122</f>
        <v>2.6600000000000002E-2</v>
      </c>
    </row>
    <row r="109" spans="1:3">
      <c r="A109" s="76">
        <v>-0.1869107043815863</v>
      </c>
      <c r="C109" s="73">
        <f>'Cost of capital'!F123-'Cost of capital'!G123</f>
        <v>-3.8699999999999998E-2</v>
      </c>
    </row>
    <row r="110" spans="1:3">
      <c r="A110" s="76">
        <v>-0.16720554272517307</v>
      </c>
      <c r="C110" s="73">
        <f>'Cost of capital'!F124-'Cost of capital'!G124</f>
        <v>5.4000000000000006E-2</v>
      </c>
    </row>
    <row r="111" spans="1:3">
      <c r="A111" s="76">
        <v>8.5213032581453518E-2</v>
      </c>
      <c r="C111" s="73">
        <f>'Cost of capital'!F125-'Cost of capital'!G125</f>
        <v>-4.0399999999999998E-2</v>
      </c>
    </row>
    <row r="112" spans="1:3">
      <c r="A112" s="76">
        <v>-2.9985007496252658E-3</v>
      </c>
      <c r="C112" s="73">
        <f>'Cost of capital'!F126-'Cost of capital'!G126</f>
        <v>7.22E-2</v>
      </c>
    </row>
    <row r="113" spans="1:3">
      <c r="A113" s="76">
        <v>4.3274244004171125E-2</v>
      </c>
      <c r="C113" s="73">
        <f>'Cost of capital'!F127-'Cost of capital'!G127</f>
        <v>4.0399999999999998E-2</v>
      </c>
    </row>
    <row r="114" spans="1:3">
      <c r="A114" s="76">
        <v>-0.13369467028003612</v>
      </c>
      <c r="C114" s="73">
        <f>'Cost of capital'!F128-'Cost of capital'!G128</f>
        <v>6.6699999999999995E-2</v>
      </c>
    </row>
    <row r="115" spans="1:3" ht="13" thickBot="1">
      <c r="A115" s="77">
        <v>0.13538461538461544</v>
      </c>
      <c r="C115" s="73">
        <f>'Cost of capital'!F129-'Cost of capital'!G129</f>
        <v>3.7999999999999999E-2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7"/>
  <sheetViews>
    <sheetView topLeftCell="A20" workbookViewId="0">
      <selection activeCell="B21" sqref="B21"/>
    </sheetView>
  </sheetViews>
  <sheetFormatPr baseColWidth="10" defaultColWidth="11.5" defaultRowHeight="12" x14ac:dyDescent="0"/>
  <cols>
    <col min="2" max="2" width="35.83203125" customWidth="1"/>
    <col min="13" max="13" width="13.5" bestFit="1" customWidth="1"/>
  </cols>
  <sheetData>
    <row r="2" spans="1:13" ht="17">
      <c r="A2" s="8" t="s">
        <v>106</v>
      </c>
    </row>
    <row r="3" spans="1:13">
      <c r="M3" s="108"/>
    </row>
    <row r="4" spans="1:13">
      <c r="A4" s="2" t="s">
        <v>95</v>
      </c>
      <c r="M4" s="1"/>
    </row>
    <row r="5" spans="1:13" ht="17">
      <c r="B5" s="8" t="s">
        <v>107</v>
      </c>
      <c r="M5" s="107"/>
    </row>
    <row r="6" spans="1:13">
      <c r="B6" s="2" t="s">
        <v>105</v>
      </c>
      <c r="C6" s="85">
        <v>0.08</v>
      </c>
    </row>
    <row r="7" spans="1:13">
      <c r="B7" s="2"/>
      <c r="C7" s="46"/>
    </row>
    <row r="8" spans="1:13">
      <c r="B8" s="2" t="s">
        <v>104</v>
      </c>
      <c r="C8" s="46">
        <v>2</v>
      </c>
      <c r="M8" s="108"/>
    </row>
    <row r="9" spans="1:13" ht="13" thickBot="1">
      <c r="B9" s="2" t="s">
        <v>103</v>
      </c>
      <c r="C9" s="46">
        <v>10</v>
      </c>
      <c r="M9" s="1"/>
    </row>
    <row r="10" spans="1:13" ht="13" thickBot="1">
      <c r="B10" s="2" t="s">
        <v>102</v>
      </c>
      <c r="C10" s="84">
        <f>C8*C9</f>
        <v>20</v>
      </c>
      <c r="M10" s="107"/>
    </row>
    <row r="11" spans="1:13">
      <c r="B11" s="2" t="s">
        <v>101</v>
      </c>
      <c r="C11" s="46">
        <v>1000</v>
      </c>
    </row>
    <row r="12" spans="1:13" ht="13" thickBot="1">
      <c r="B12" s="2"/>
      <c r="C12" s="46"/>
    </row>
    <row r="13" spans="1:13" ht="13" thickBot="1">
      <c r="B13" s="2" t="s">
        <v>100</v>
      </c>
      <c r="C13" s="84">
        <f>C6*C11/C8</f>
        <v>40</v>
      </c>
      <c r="M13" s="73"/>
    </row>
    <row r="14" spans="1:13">
      <c r="B14" s="2" t="s">
        <v>99</v>
      </c>
      <c r="C14" s="46">
        <v>1009</v>
      </c>
      <c r="M14" s="73"/>
    </row>
    <row r="15" spans="1:13">
      <c r="B15" s="2"/>
      <c r="C15" s="46"/>
      <c r="M15" s="108"/>
    </row>
    <row r="16" spans="1:13" ht="13" thickBot="1">
      <c r="B16" s="2"/>
      <c r="C16" s="46"/>
    </row>
    <row r="17" spans="1:13" ht="13" thickBot="1">
      <c r="B17" s="2" t="s">
        <v>98</v>
      </c>
      <c r="C17" s="83">
        <f>RATE(C10,C13,-C14,C11)</f>
        <v>3.9341619268161307E-2</v>
      </c>
    </row>
    <row r="18" spans="1:13">
      <c r="B18" s="2"/>
      <c r="C18" s="46"/>
      <c r="M18" s="107"/>
    </row>
    <row r="19" spans="1:13" ht="15">
      <c r="B19" s="82" t="s">
        <v>97</v>
      </c>
      <c r="C19" s="134">
        <f>(1+C17)^C8-1</f>
        <v>8.0231001542963476E-2</v>
      </c>
    </row>
    <row r="20" spans="1:13">
      <c r="B20" s="42" t="s">
        <v>96</v>
      </c>
    </row>
    <row r="21" spans="1:13" ht="15">
      <c r="B21" s="91">
        <f>C19*(1-0.3)</f>
        <v>5.6161701080074428E-2</v>
      </c>
    </row>
    <row r="23" spans="1:13">
      <c r="F23" s="49"/>
    </row>
    <row r="24" spans="1:13">
      <c r="A24" s="2" t="s">
        <v>95</v>
      </c>
    </row>
    <row r="25" spans="1:13">
      <c r="H25" s="135"/>
      <c r="I25" s="136"/>
      <c r="J25" s="136"/>
      <c r="K25" s="136"/>
      <c r="L25" s="137"/>
    </row>
    <row r="26" spans="1:13" ht="17">
      <c r="B26" s="8" t="s">
        <v>108</v>
      </c>
      <c r="H26" s="138"/>
      <c r="I26" s="143" t="s">
        <v>90</v>
      </c>
      <c r="J26" s="63"/>
      <c r="K26" s="63"/>
      <c r="L26" s="139"/>
    </row>
    <row r="27" spans="1:13">
      <c r="B27" s="2" t="s">
        <v>105</v>
      </c>
      <c r="C27" s="86">
        <v>0.09</v>
      </c>
      <c r="H27" s="138"/>
      <c r="I27" s="63" t="s">
        <v>119</v>
      </c>
      <c r="J27" s="63"/>
      <c r="K27" s="63"/>
      <c r="L27" s="139"/>
    </row>
    <row r="28" spans="1:13" ht="15">
      <c r="B28" s="2"/>
      <c r="C28" s="87"/>
      <c r="H28" s="138"/>
      <c r="I28" s="144" t="s">
        <v>120</v>
      </c>
      <c r="J28" s="144"/>
      <c r="K28" s="145">
        <f>B21</f>
        <v>5.6161701080074428E-2</v>
      </c>
      <c r="L28" s="139"/>
    </row>
    <row r="29" spans="1:13" ht="15">
      <c r="B29" s="2" t="s">
        <v>104</v>
      </c>
      <c r="C29" s="87">
        <v>4</v>
      </c>
      <c r="H29" s="138"/>
      <c r="I29" s="144" t="s">
        <v>121</v>
      </c>
      <c r="J29" s="144"/>
      <c r="K29" s="145">
        <f>B42</f>
        <v>5.9352128729369499E-2</v>
      </c>
      <c r="L29" s="139"/>
    </row>
    <row r="30" spans="1:13" ht="16" thickBot="1">
      <c r="B30" s="2" t="s">
        <v>103</v>
      </c>
      <c r="C30" s="87">
        <v>12</v>
      </c>
      <c r="H30" s="138"/>
      <c r="I30" s="144" t="s">
        <v>122</v>
      </c>
      <c r="J30" s="144"/>
      <c r="K30" s="145">
        <f>B47</f>
        <v>6.93E-2</v>
      </c>
      <c r="L30" s="139"/>
    </row>
    <row r="31" spans="1:13" ht="13" thickBot="1">
      <c r="B31" s="2" t="s">
        <v>102</v>
      </c>
      <c r="C31" s="88">
        <f>C29*C30</f>
        <v>48</v>
      </c>
      <c r="H31" s="140"/>
      <c r="I31" s="141"/>
      <c r="J31" s="141"/>
      <c r="K31" s="141"/>
      <c r="L31" s="142"/>
    </row>
    <row r="32" spans="1:13">
      <c r="B32" s="2" t="s">
        <v>101</v>
      </c>
      <c r="C32" s="87">
        <v>1000</v>
      </c>
    </row>
    <row r="33" spans="2:6" ht="13" thickBot="1">
      <c r="B33" s="2"/>
      <c r="C33" s="87"/>
    </row>
    <row r="34" spans="2:6" ht="13" thickBot="1">
      <c r="B34" s="2" t="s">
        <v>100</v>
      </c>
      <c r="C34" s="88">
        <f>C27*C32/C29</f>
        <v>22.5</v>
      </c>
    </row>
    <row r="35" spans="2:6">
      <c r="B35" s="2" t="s">
        <v>99</v>
      </c>
      <c r="C35" s="87">
        <v>1059</v>
      </c>
    </row>
    <row r="36" spans="2:6">
      <c r="B36" s="2"/>
      <c r="C36" s="87"/>
    </row>
    <row r="37" spans="2:6" ht="13" thickBot="1">
      <c r="B37" s="2"/>
      <c r="C37" s="87"/>
    </row>
    <row r="38" spans="2:6" ht="13" thickBot="1">
      <c r="B38" s="2" t="s">
        <v>98</v>
      </c>
      <c r="C38" s="89">
        <f>RATE(C31,C34,-C35,C32)</f>
        <v>2.0554715425069536E-2</v>
      </c>
    </row>
    <row r="39" spans="2:6">
      <c r="B39" s="2"/>
      <c r="C39" s="87"/>
    </row>
    <row r="40" spans="2:6" ht="15">
      <c r="B40" s="82" t="s">
        <v>97</v>
      </c>
      <c r="C40" s="134">
        <f>(1+C38)^C29-1</f>
        <v>8.4788755327670717E-2</v>
      </c>
    </row>
    <row r="41" spans="2:6">
      <c r="B41" t="s">
        <v>96</v>
      </c>
    </row>
    <row r="42" spans="2:6" ht="15">
      <c r="B42" s="91">
        <f>C40*(1-0.3)</f>
        <v>5.9352128729369499E-2</v>
      </c>
    </row>
    <row r="44" spans="2:6" ht="17">
      <c r="B44" s="90" t="s">
        <v>109</v>
      </c>
    </row>
    <row r="46" spans="2:6">
      <c r="B46" s="2" t="s">
        <v>95</v>
      </c>
      <c r="E46" t="s">
        <v>118</v>
      </c>
    </row>
    <row r="47" spans="2:6" ht="15">
      <c r="B47" s="91">
        <f>F47*(1-0.3)</f>
        <v>6.93E-2</v>
      </c>
      <c r="F47" s="82">
        <f>0.091+0.008</f>
        <v>9.9000000000000005E-2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workbookViewId="0">
      <selection activeCell="F4" sqref="F4:G13"/>
    </sheetView>
  </sheetViews>
  <sheetFormatPr baseColWidth="10" defaultColWidth="11.5" defaultRowHeight="12" x14ac:dyDescent="0"/>
  <cols>
    <col min="6" max="6" width="19.1640625" bestFit="1" customWidth="1"/>
  </cols>
  <sheetData>
    <row r="2" spans="1:7">
      <c r="A2" t="s">
        <v>123</v>
      </c>
      <c r="E2" t="s">
        <v>127</v>
      </c>
      <c r="F2" t="s">
        <v>128</v>
      </c>
      <c r="G2" t="s">
        <v>116</v>
      </c>
    </row>
    <row r="4" spans="1:7">
      <c r="A4" t="s">
        <v>107</v>
      </c>
      <c r="E4" s="73">
        <v>0.31</v>
      </c>
      <c r="F4" s="73">
        <f>'What is the AT Cost of Debt'!B21</f>
        <v>5.6161701080074428E-2</v>
      </c>
      <c r="G4" s="73">
        <f>F4</f>
        <v>5.6161701080074428E-2</v>
      </c>
    </row>
    <row r="5" spans="1:7">
      <c r="A5" t="s">
        <v>108</v>
      </c>
      <c r="E5" s="73">
        <v>0.25</v>
      </c>
      <c r="F5" s="73">
        <f>'What is the AT Cost of Debt'!B42</f>
        <v>5.9352128729369499E-2</v>
      </c>
      <c r="G5" s="73">
        <f>F5</f>
        <v>5.9352128729369499E-2</v>
      </c>
    </row>
    <row r="6" spans="1:7">
      <c r="A6" t="s">
        <v>109</v>
      </c>
      <c r="E6" s="73">
        <v>0.17</v>
      </c>
      <c r="F6" s="73">
        <f>'What is the AT Cost of Debt'!B47</f>
        <v>6.93E-2</v>
      </c>
      <c r="G6" s="73">
        <f>F6</f>
        <v>6.93E-2</v>
      </c>
    </row>
    <row r="7" spans="1:7">
      <c r="E7" s="73"/>
      <c r="F7" s="73"/>
      <c r="G7" s="73"/>
    </row>
    <row r="8" spans="1:7">
      <c r="A8" t="s">
        <v>41</v>
      </c>
      <c r="C8" s="73">
        <v>0.7</v>
      </c>
      <c r="E8" s="73">
        <v>0.191</v>
      </c>
      <c r="F8" s="73">
        <f>DGM!D8</f>
        <v>0.16155019829027606</v>
      </c>
      <c r="G8" s="73">
        <f>CAPM!G81</f>
        <v>6.0333540223563631E-2</v>
      </c>
    </row>
    <row r="9" spans="1:7">
      <c r="A9" t="s">
        <v>124</v>
      </c>
      <c r="C9" s="73">
        <v>0.3</v>
      </c>
      <c r="E9" s="73">
        <v>8.2000000000000003E-2</v>
      </c>
      <c r="F9" s="73">
        <f>DGM!D8</f>
        <v>0.16155019829027606</v>
      </c>
      <c r="G9" s="73">
        <f>CAPM!G81</f>
        <v>6.0333540223563631E-2</v>
      </c>
    </row>
    <row r="10" spans="1:7">
      <c r="E10" s="73"/>
      <c r="F10" s="73"/>
      <c r="G10" s="73"/>
    </row>
    <row r="11" spans="1:7">
      <c r="A11" t="s">
        <v>125</v>
      </c>
      <c r="E11" s="73">
        <v>0</v>
      </c>
      <c r="F11" s="73">
        <v>0</v>
      </c>
      <c r="G11" s="73">
        <v>0</v>
      </c>
    </row>
    <row r="13" spans="1:7">
      <c r="A13" t="s">
        <v>126</v>
      </c>
      <c r="E13" s="146"/>
      <c r="F13" s="147"/>
      <c r="G13" s="73">
        <f>CAPM!G81</f>
        <v>6.0333540223563631E-2</v>
      </c>
    </row>
    <row r="16" spans="1:7">
      <c r="F16">
        <f>(0.31*0.0562)+(0.25*0.0594)+(0.17*0.0693)</f>
        <v>4.4053000000000002E-2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Group Details</vt:lpstr>
      <vt:lpstr>Cost of capital</vt:lpstr>
      <vt:lpstr>Cash flow forecasting</vt:lpstr>
      <vt:lpstr>DGM</vt:lpstr>
      <vt:lpstr>CAPM</vt:lpstr>
      <vt:lpstr>What is the AT Cost of Debt</vt:lpstr>
      <vt:lpstr>WACC</vt:lpstr>
    </vt:vector>
  </TitlesOfParts>
  <Company>TAU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</dc:creator>
  <cp:lastModifiedBy>Chatelle Bourque</cp:lastModifiedBy>
  <dcterms:created xsi:type="dcterms:W3CDTF">2002-07-15T21:36:37Z</dcterms:created>
  <dcterms:modified xsi:type="dcterms:W3CDTF">2015-04-18T18:03:19Z</dcterms:modified>
</cp:coreProperties>
</file>