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19155" windowHeight="7740"/>
  </bookViews>
  <sheets>
    <sheet name="Dividend Discount Model" sheetId="3" r:id="rId1"/>
    <sheet name="DCF Model" sheetId="2" r:id="rId2"/>
  </sheets>
  <calcPr calcId="125725"/>
</workbook>
</file>

<file path=xl/calcChain.xml><?xml version="1.0" encoding="utf-8"?>
<calcChain xmlns="http://schemas.openxmlformats.org/spreadsheetml/2006/main">
  <c r="B42" i="2"/>
  <c r="D27"/>
  <c r="E27" s="1"/>
  <c r="F27" s="1"/>
  <c r="G27" s="1"/>
  <c r="H27" s="1"/>
  <c r="I27" s="1"/>
  <c r="J27" s="1"/>
  <c r="K27" s="1"/>
  <c r="L27" s="1"/>
  <c r="M27" s="1"/>
  <c r="C27"/>
  <c r="C16"/>
  <c r="D16" s="1"/>
  <c r="E16" s="1"/>
  <c r="F16" s="1"/>
  <c r="G16" s="1"/>
  <c r="H16" s="1"/>
  <c r="I16" s="1"/>
  <c r="J16" s="1"/>
  <c r="K16" s="1"/>
  <c r="L16" s="1"/>
  <c r="C18" i="3"/>
  <c r="D18" s="1"/>
  <c r="C17" i="2"/>
  <c r="D17" s="1"/>
  <c r="E17" s="1"/>
  <c r="F17" s="1"/>
  <c r="G17" s="1"/>
  <c r="H17" s="1"/>
  <c r="I17" s="1"/>
  <c r="J17" s="1"/>
  <c r="K17" s="1"/>
  <c r="L17" s="1"/>
  <c r="M17" s="1"/>
  <c r="M39" s="1"/>
  <c r="C38"/>
  <c r="D38" s="1"/>
  <c r="E38" s="1"/>
  <c r="F38" s="1"/>
  <c r="G38" s="1"/>
  <c r="H38" s="1"/>
  <c r="I38" s="1"/>
  <c r="J38" s="1"/>
  <c r="K38" s="1"/>
  <c r="L38" s="1"/>
  <c r="C17" i="3"/>
  <c r="D17" s="1"/>
  <c r="E17" s="1"/>
  <c r="F17" s="1"/>
  <c r="G17" s="1"/>
  <c r="H17" s="1"/>
  <c r="I17" s="1"/>
  <c r="J17" s="1"/>
  <c r="K17" s="1"/>
  <c r="L17" s="1"/>
  <c r="M18" i="2" l="1"/>
  <c r="M19" s="1"/>
  <c r="I18"/>
  <c r="I19" s="1"/>
  <c r="C20"/>
  <c r="C26" s="1"/>
  <c r="G20"/>
  <c r="G26" s="1"/>
  <c r="K20"/>
  <c r="K26" s="1"/>
  <c r="D20"/>
  <c r="D26" s="1"/>
  <c r="H20"/>
  <c r="H26" s="1"/>
  <c r="L20"/>
  <c r="L26" s="1"/>
  <c r="E20"/>
  <c r="E26" s="1"/>
  <c r="I20"/>
  <c r="I26" s="1"/>
  <c r="M20"/>
  <c r="M26" s="1"/>
  <c r="F20"/>
  <c r="F26" s="1"/>
  <c r="J20"/>
  <c r="J26" s="1"/>
  <c r="H39"/>
  <c r="L39"/>
  <c r="E18"/>
  <c r="E39"/>
  <c r="L18"/>
  <c r="L19" s="1"/>
  <c r="L21" s="1"/>
  <c r="H18"/>
  <c r="H19" s="1"/>
  <c r="D18"/>
  <c r="D19" s="1"/>
  <c r="I39"/>
  <c r="K18"/>
  <c r="K19" s="1"/>
  <c r="G18"/>
  <c r="G19" s="1"/>
  <c r="C18"/>
  <c r="C40" s="1"/>
  <c r="D39"/>
  <c r="F39"/>
  <c r="J39"/>
  <c r="C39"/>
  <c r="C42" s="1"/>
  <c r="J18"/>
  <c r="F18"/>
  <c r="G39"/>
  <c r="K39"/>
  <c r="C13" i="3"/>
  <c r="E18"/>
  <c r="G21" i="2" l="1"/>
  <c r="G22" s="1"/>
  <c r="G23" s="1"/>
  <c r="I21"/>
  <c r="I22" s="1"/>
  <c r="K21"/>
  <c r="K22" s="1"/>
  <c r="K23" s="1"/>
  <c r="M40"/>
  <c r="D21"/>
  <c r="D22" s="1"/>
  <c r="D23" s="1"/>
  <c r="E40"/>
  <c r="E42" s="1"/>
  <c r="E19"/>
  <c r="E21" s="1"/>
  <c r="E22" s="1"/>
  <c r="E23" s="1"/>
  <c r="F40"/>
  <c r="F42" s="1"/>
  <c r="C19"/>
  <c r="C21" s="1"/>
  <c r="J40"/>
  <c r="J42" s="1"/>
  <c r="L22"/>
  <c r="L23" s="1"/>
  <c r="F19"/>
  <c r="F21" s="1"/>
  <c r="F22" s="1"/>
  <c r="F23" s="1"/>
  <c r="H21"/>
  <c r="J19"/>
  <c r="J21" s="1"/>
  <c r="J22" s="1"/>
  <c r="J23" s="1"/>
  <c r="M21"/>
  <c r="M22" s="1"/>
  <c r="M23" s="1"/>
  <c r="G40"/>
  <c r="G42" s="1"/>
  <c r="H40"/>
  <c r="H42" s="1"/>
  <c r="L40"/>
  <c r="L42" s="1"/>
  <c r="K40"/>
  <c r="K42" s="1"/>
  <c r="D40"/>
  <c r="D42" s="1"/>
  <c r="I40"/>
  <c r="I42" s="1"/>
  <c r="F18" i="3"/>
  <c r="M42" i="2" l="1"/>
  <c r="M28" s="1"/>
  <c r="M29" s="1"/>
  <c r="I23"/>
  <c r="C28"/>
  <c r="H22"/>
  <c r="H23"/>
  <c r="C22"/>
  <c r="C23" s="1"/>
  <c r="G18" i="3"/>
  <c r="C29" i="2" l="1"/>
  <c r="D28"/>
  <c r="D29" s="1"/>
  <c r="H18" i="3"/>
  <c r="E28" i="2" l="1"/>
  <c r="E29" s="1"/>
  <c r="I18" i="3"/>
  <c r="F28" i="2" l="1"/>
  <c r="F29" s="1"/>
  <c r="G28"/>
  <c r="G29" s="1"/>
  <c r="J18" i="3"/>
  <c r="K18" l="1"/>
  <c r="H28" i="2" l="1"/>
  <c r="H29" s="1"/>
  <c r="L18" i="3"/>
  <c r="M18" l="1"/>
  <c r="I28" i="2"/>
  <c r="I29" s="1"/>
  <c r="J28" l="1"/>
  <c r="J29" s="1"/>
  <c r="C14" i="3"/>
  <c r="B19" s="1"/>
  <c r="B21" l="1"/>
  <c r="K28" i="2"/>
  <c r="K29" s="1"/>
  <c r="L28" l="1"/>
  <c r="L29" s="1"/>
  <c r="B31" l="1"/>
  <c r="B34" s="1"/>
  <c r="B35" s="1"/>
</calcChain>
</file>

<file path=xl/sharedStrings.xml><?xml version="1.0" encoding="utf-8"?>
<sst xmlns="http://schemas.openxmlformats.org/spreadsheetml/2006/main" count="92" uniqueCount="75">
  <si>
    <t>Year 0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</si>
  <si>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</si>
  <si>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</si>
  <si>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</si>
  <si>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</si>
  <si>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</si>
  <si>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</si>
  <si>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</si>
  <si>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</si>
  <si>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</si>
  <si>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</si>
  <si>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2006</t>
  </si>
  <si>
    <t>(in $ million)</t>
  </si>
  <si>
    <t>Depreciation</t>
  </si>
  <si>
    <t xml:space="preserve">EBIT </t>
  </si>
  <si>
    <t>Earnings After Taxes</t>
  </si>
  <si>
    <t>Div'ds Decl'd per Sh:</t>
  </si>
  <si>
    <t>Equity cost of capital:</t>
  </si>
  <si>
    <t>(Div 1 / P0 + 5%)</t>
  </si>
  <si>
    <t>(Div 11 / P10 + 3%)</t>
  </si>
  <si>
    <t xml:space="preserve">Year 11 &amp; </t>
  </si>
  <si>
    <t>2017 &amp;</t>
  </si>
  <si>
    <t>1) The number of shares outstanding will be constant at 7225 millions</t>
  </si>
  <si>
    <t>5) Perpertual growth rate after 10 years:</t>
  </si>
  <si>
    <t>Calulation:</t>
  </si>
  <si>
    <t>2) Dividend payout rate is constant at 48%</t>
  </si>
  <si>
    <t>2) Perpertual growth rate after 10 years:</t>
  </si>
  <si>
    <t>3) Growth in dividends = Growth in earnings = Growth in share price</t>
  </si>
  <si>
    <t>Change in Net Working Capital</t>
  </si>
  <si>
    <t>Last Trading Share Price:</t>
  </si>
  <si>
    <t>4) Div'd Growth rate for next 10 years:</t>
  </si>
  <si>
    <t>Inc/Dec. in Receivable</t>
  </si>
  <si>
    <t>Inc/Dec. in Payable</t>
  </si>
  <si>
    <t>Sales</t>
    <phoneticPr fontId="4" type="noConversion"/>
  </si>
  <si>
    <t>EBITDA</t>
    <phoneticPr fontId="4" type="noConversion"/>
  </si>
  <si>
    <t>7) Operatin Margin remains 39.5% throughout the whole period</t>
    <phoneticPr fontId="4" type="noConversion"/>
  </si>
  <si>
    <t>4) Receivable remains 20% of sales throughout the whole period</t>
    <phoneticPr fontId="4" type="noConversion"/>
  </si>
  <si>
    <t>5) Accts. Payable remains 6% of Cost &amp; Expense throughout the whole period</t>
    <phoneticPr fontId="4" type="noConversion"/>
  </si>
  <si>
    <t>6) Other current assets &amp; liab remains constant throughout the whole period</t>
    <phoneticPr fontId="4" type="noConversion"/>
  </si>
  <si>
    <t>COGS &amp; Other Expenses</t>
    <phoneticPr fontId="4" type="noConversion"/>
  </si>
  <si>
    <t xml:space="preserve">Less: Tax </t>
    <phoneticPr fontId="4" type="noConversion"/>
  </si>
  <si>
    <t>9) Income Tax rate remains 22.5% throughout the whole period</t>
    <phoneticPr fontId="4" type="noConversion"/>
  </si>
  <si>
    <t>Adjustments</t>
    <phoneticPr fontId="4" type="noConversion"/>
  </si>
  <si>
    <t>Plus: Depreciation</t>
    <phoneticPr fontId="4" type="noConversion"/>
  </si>
  <si>
    <t>Less: Capital Expenditure</t>
    <phoneticPr fontId="4" type="noConversion"/>
  </si>
  <si>
    <t>Present Value:</t>
    <phoneticPr fontId="4" type="noConversion"/>
  </si>
  <si>
    <t xml:space="preserve">Yr 0 </t>
    <phoneticPr fontId="4" type="noConversion"/>
  </si>
  <si>
    <t>Yr 1</t>
    <phoneticPr fontId="4" type="noConversion"/>
  </si>
  <si>
    <t>Yr 2</t>
  </si>
  <si>
    <t>Yr 3</t>
  </si>
  <si>
    <t>Yr 4</t>
  </si>
  <si>
    <t>Yr 5</t>
  </si>
  <si>
    <t>Yr 6</t>
  </si>
  <si>
    <t>Yr 7</t>
  </si>
  <si>
    <t>Yr 8</t>
  </si>
  <si>
    <t>Yr 9</t>
  </si>
  <si>
    <t>Yr 10</t>
  </si>
  <si>
    <r>
      <t xml:space="preserve">Yr 11 &amp; </t>
    </r>
    <r>
      <rPr>
        <b/>
        <sz val="11"/>
        <color theme="1"/>
        <rFont val="돋움"/>
        <family val="3"/>
        <charset val="129"/>
      </rPr>
      <t>∞</t>
    </r>
    <phoneticPr fontId="4" type="noConversion"/>
  </si>
  <si>
    <r>
      <t xml:space="preserve">2017 &amp; </t>
    </r>
    <r>
      <rPr>
        <sz val="11"/>
        <color theme="1"/>
        <rFont val="돋움"/>
        <family val="3"/>
        <charset val="129"/>
      </rPr>
      <t>∞</t>
    </r>
    <phoneticPr fontId="4" type="noConversion"/>
  </si>
  <si>
    <t>Less: Working Capital Changes</t>
    <phoneticPr fontId="4" type="noConversion"/>
  </si>
  <si>
    <t>Free Cash Flow</t>
    <phoneticPr fontId="4" type="noConversion"/>
  </si>
  <si>
    <t>Plus: Cash</t>
    <phoneticPr fontId="4" type="noConversion"/>
  </si>
  <si>
    <t>Less: Debt</t>
    <phoneticPr fontId="4" type="noConversion"/>
  </si>
  <si>
    <t>Present Value of Firm Value:</t>
    <phoneticPr fontId="4" type="noConversion"/>
  </si>
  <si>
    <t>Present Value of Equity:</t>
    <phoneticPr fontId="4" type="noConversion"/>
  </si>
  <si>
    <t>Estimate of Share Price:</t>
    <phoneticPr fontId="4" type="noConversion"/>
  </si>
  <si>
    <t>8) Depreciation Expense remains 10.6% of sales throughout the whole period</t>
    <phoneticPr fontId="4" type="noConversion"/>
  </si>
  <si>
    <t>Dividend-Discount Model</t>
    <phoneticPr fontId="4" type="noConversion"/>
  </si>
  <si>
    <t>1) Growth rate in earning for 10 years:</t>
    <phoneticPr fontId="4" type="noConversion"/>
  </si>
  <si>
    <t>10) Growth rate in Capital Expenditure:</t>
    <phoneticPr fontId="4" type="noConversion"/>
  </si>
  <si>
    <t xml:space="preserve">Assumptions: </t>
    <phoneticPr fontId="4" type="noConversion"/>
  </si>
  <si>
    <t>Free Cash Flow Forecast ($ million)</t>
    <phoneticPr fontId="4" type="noConversion"/>
  </si>
  <si>
    <t xml:space="preserve">Net Change </t>
    <phoneticPr fontId="4" type="noConversion"/>
  </si>
  <si>
    <t>3) Rwacc remains constant throughout the whole period</t>
    <phoneticPr fontId="4" type="noConversion"/>
  </si>
  <si>
    <t>DCF Valuation Model</t>
    <phoneticPr fontId="4" type="noConversion"/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</si>
</sst>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00%"/>
  </numFmts>
  <fonts count="8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10" fontId="2" fillId="0" borderId="0" xfId="0" applyNumberFormat="1" applyFont="1"/>
    <xf numFmtId="44" fontId="2" fillId="0" borderId="0" xfId="2" applyFont="1"/>
    <xf numFmtId="165" fontId="2" fillId="0" borderId="0" xfId="1" applyNumberFormat="1" applyFont="1"/>
    <xf numFmtId="166" fontId="2" fillId="0" borderId="0" xfId="3" applyNumberFormat="1" applyFont="1"/>
    <xf numFmtId="9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vertical="top"/>
    </xf>
    <xf numFmtId="0" fontId="2" fillId="0" borderId="1" xfId="0" applyFont="1" applyFill="1" applyBorder="1" applyAlignment="1">
      <alignment horizontal="right" vertical="top"/>
    </xf>
    <xf numFmtId="43" fontId="2" fillId="0" borderId="1" xfId="1" applyFont="1" applyBorder="1"/>
    <xf numFmtId="0" fontId="2" fillId="0" borderId="0" xfId="0" applyFont="1" applyFill="1" applyBorder="1" applyAlignment="1">
      <alignment horizontal="right" vertical="top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0" fontId="3" fillId="0" borderId="0" xfId="0" applyFont="1"/>
    <xf numFmtId="0" fontId="2" fillId="0" borderId="0" xfId="0" applyFont="1" applyBorder="1" applyAlignment="1">
      <alignment horizontal="left" indent="1"/>
    </xf>
    <xf numFmtId="0" fontId="2" fillId="0" borderId="1" xfId="0" applyFont="1" applyBorder="1"/>
    <xf numFmtId="0" fontId="2" fillId="2" borderId="1" xfId="0" applyFont="1" applyFill="1" applyBorder="1"/>
    <xf numFmtId="43" fontId="2" fillId="2" borderId="1" xfId="1" applyFont="1" applyFill="1" applyBorder="1"/>
    <xf numFmtId="38" fontId="2" fillId="0" borderId="1" xfId="1" applyNumberFormat="1" applyFont="1" applyBorder="1"/>
    <xf numFmtId="38" fontId="2" fillId="0" borderId="2" xfId="1" applyNumberFormat="1" applyFont="1" applyBorder="1"/>
    <xf numFmtId="38" fontId="2" fillId="0" borderId="4" xfId="1" applyNumberFormat="1" applyFont="1" applyBorder="1"/>
    <xf numFmtId="38" fontId="2" fillId="0" borderId="3" xfId="1" applyNumberFormat="1" applyFont="1" applyBorder="1"/>
    <xf numFmtId="2" fontId="2" fillId="0" borderId="0" xfId="0" applyNumberFormat="1" applyFont="1" applyAlignment="1">
      <alignment horizontal="center"/>
    </xf>
    <xf numFmtId="0" fontId="2" fillId="0" borderId="2" xfId="0" applyFont="1" applyBorder="1"/>
    <xf numFmtId="38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right" vertical="top"/>
    </xf>
    <xf numFmtId="43" fontId="3" fillId="3" borderId="0" xfId="1" applyFont="1" applyFill="1" applyAlignment="1">
      <alignment horizontal="center" vertical="center"/>
    </xf>
    <xf numFmtId="38" fontId="2" fillId="2" borderId="1" xfId="1" applyNumberFormat="1" applyFont="1" applyFill="1" applyBorder="1" applyAlignment="1">
      <alignment horizontal="center"/>
    </xf>
    <xf numFmtId="38" fontId="2" fillId="2" borderId="1" xfId="1" applyNumberFormat="1" applyFont="1" applyFill="1" applyBorder="1"/>
    <xf numFmtId="38" fontId="2" fillId="0" borderId="5" xfId="1" applyNumberFormat="1" applyFont="1" applyBorder="1"/>
    <xf numFmtId="0" fontId="3" fillId="3" borderId="1" xfId="0" applyFont="1" applyFill="1" applyBorder="1" applyAlignment="1">
      <alignment horizontal="right" vertical="top"/>
    </xf>
    <xf numFmtId="164" fontId="3" fillId="3" borderId="1" xfId="0" applyNumberFormat="1" applyFont="1" applyFill="1" applyBorder="1"/>
    <xf numFmtId="9" fontId="2" fillId="0" borderId="0" xfId="0" applyNumberFormat="1" applyFont="1" applyAlignment="1">
      <alignment horizontal="center"/>
    </xf>
    <xf numFmtId="0" fontId="2" fillId="0" borderId="0" xfId="0" applyFont="1" applyFill="1"/>
    <xf numFmtId="0" fontId="7" fillId="0" borderId="0" xfId="0" applyFont="1" applyAlignment="1">
      <alignment vertical="top" wrapText="1"/>
    </xf>
    <xf numFmtId="38" fontId="2" fillId="0" borderId="1" xfId="1" applyNumberFormat="1" applyFont="1" applyBorder="1" applyAlignment="1">
      <alignment horizontal="center"/>
    </xf>
    <xf numFmtId="38" fontId="2" fillId="0" borderId="2" xfId="1" applyNumberFormat="1" applyFont="1" applyBorder="1" applyAlignment="1">
      <alignment horizontal="center"/>
    </xf>
    <xf numFmtId="38" fontId="2" fillId="0" borderId="4" xfId="1" applyNumberFormat="1" applyFont="1" applyBorder="1" applyAlignment="1">
      <alignment horizontal="center"/>
    </xf>
    <xf numFmtId="38" fontId="2" fillId="0" borderId="3" xfId="1" applyNumberFormat="1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31"/>
  <sheetViews>
    <sheetView tabSelected="1" workbookViewId="0">
      <selection activeCell="I27" sqref="I27"/>
    </sheetView>
  </sheetViews>
  <sheetFormatPr defaultColWidth="30.42578125" defaultRowHeight="14.25"/>
  <cols>
    <col min="1" max="1" width="31.42578125" style="2" customWidth="1"/>
    <col min="2" max="2" width="8.28515625" style="2" bestFit="1" customWidth="1"/>
    <col min="3" max="3" width="8.7109375" style="2" bestFit="1" customWidth="1"/>
    <col min="4" max="11" width="7.42578125" style="2" bestFit="1" customWidth="1"/>
    <col min="12" max="12" width="8.5703125" style="2" bestFit="1" customWidth="1"/>
    <col min="13" max="13" width="12.28515625" style="2" customWidth="1"/>
    <col min="14" max="14" width="12" style="2" bestFit="1" customWidth="1"/>
    <col min="15" max="15" width="32.28515625" style="2" customWidth="1"/>
    <col min="16" max="16384" width="30.42578125" style="2"/>
  </cols>
  <sheetData>
    <row r="1" spans="1:14" ht="15">
      <c r="A1" s="23" t="s">
        <v>67</v>
      </c>
    </row>
    <row r="3" spans="1:14">
      <c r="A3" s="45" t="s">
        <v>70</v>
      </c>
      <c r="B3" s="1"/>
      <c r="D3" s="1"/>
      <c r="E3" s="1"/>
      <c r="F3" s="1"/>
      <c r="G3" s="1"/>
      <c r="H3" s="1"/>
    </row>
    <row r="4" spans="1:14">
      <c r="A4" s="3" t="s">
        <v>22</v>
      </c>
      <c r="B4" s="1"/>
      <c r="D4" s="1"/>
      <c r="E4" s="1"/>
      <c r="F4" s="1"/>
      <c r="G4" s="1"/>
      <c r="H4" s="1"/>
    </row>
    <row r="5" spans="1:14">
      <c r="A5" s="3" t="s">
        <v>25</v>
      </c>
      <c r="B5" s="1"/>
      <c r="D5" s="1"/>
      <c r="E5" s="1"/>
      <c r="F5" s="1"/>
      <c r="G5" s="1"/>
      <c r="H5" s="1"/>
    </row>
    <row r="6" spans="1:14">
      <c r="A6" s="3" t="s">
        <v>27</v>
      </c>
      <c r="B6" s="1"/>
      <c r="D6" s="1"/>
      <c r="E6" s="1"/>
      <c r="F6" s="1"/>
      <c r="G6" s="1"/>
      <c r="H6" s="1"/>
    </row>
    <row r="7" spans="1:14">
      <c r="A7" s="2" t="s">
        <v>30</v>
      </c>
      <c r="C7" s="4">
        <v>0.05</v>
      </c>
    </row>
    <row r="8" spans="1:14">
      <c r="A8" s="2" t="s">
        <v>23</v>
      </c>
      <c r="C8" s="4">
        <v>0.03</v>
      </c>
    </row>
    <row r="9" spans="1:14">
      <c r="C9" s="4"/>
    </row>
    <row r="10" spans="1:14">
      <c r="A10" s="2" t="s">
        <v>24</v>
      </c>
      <c r="C10" s="4"/>
    </row>
    <row r="11" spans="1:14">
      <c r="A11" s="2" t="s">
        <v>29</v>
      </c>
      <c r="C11" s="5">
        <v>26</v>
      </c>
    </row>
    <row r="12" spans="1:14">
      <c r="A12" s="2" t="s">
        <v>17</v>
      </c>
    </row>
    <row r="13" spans="1:14">
      <c r="A13" s="6" t="s">
        <v>18</v>
      </c>
      <c r="C13" s="7">
        <f>+C18/C11+C7</f>
        <v>8.8769230769230767E-2</v>
      </c>
    </row>
    <row r="14" spans="1:14">
      <c r="A14" s="6" t="s">
        <v>19</v>
      </c>
      <c r="C14" s="7">
        <f>+M18/(+C11*(1.05)^10)+C8</f>
        <v>6.8030769230769228E-2</v>
      </c>
    </row>
    <row r="15" spans="1:14">
      <c r="B15" s="8"/>
    </row>
    <row r="16" spans="1:14" ht="15">
      <c r="A16" s="13"/>
      <c r="B16" s="14" t="s">
        <v>46</v>
      </c>
      <c r="C16" s="14" t="s">
        <v>47</v>
      </c>
      <c r="D16" s="14" t="s">
        <v>48</v>
      </c>
      <c r="E16" s="14" t="s">
        <v>49</v>
      </c>
      <c r="F16" s="14" t="s">
        <v>50</v>
      </c>
      <c r="G16" s="14" t="s">
        <v>51</v>
      </c>
      <c r="H16" s="14" t="s">
        <v>52</v>
      </c>
      <c r="I16" s="14" t="s">
        <v>53</v>
      </c>
      <c r="J16" s="14" t="s">
        <v>54</v>
      </c>
      <c r="K16" s="14" t="s">
        <v>55</v>
      </c>
      <c r="L16" s="14" t="s">
        <v>56</v>
      </c>
      <c r="M16" s="14" t="s">
        <v>57</v>
      </c>
      <c r="N16" s="9"/>
    </row>
    <row r="17" spans="1:14">
      <c r="A17" s="13"/>
      <c r="B17" s="15" t="s">
        <v>11</v>
      </c>
      <c r="C17" s="16">
        <f>+B17+1</f>
        <v>2007</v>
      </c>
      <c r="D17" s="16">
        <f t="shared" ref="D17:L17" si="0">+C17+1</f>
        <v>2008</v>
      </c>
      <c r="E17" s="16">
        <f t="shared" si="0"/>
        <v>2009</v>
      </c>
      <c r="F17" s="16">
        <f t="shared" si="0"/>
        <v>2010</v>
      </c>
      <c r="G17" s="16">
        <f t="shared" si="0"/>
        <v>2011</v>
      </c>
      <c r="H17" s="16">
        <f t="shared" si="0"/>
        <v>2012</v>
      </c>
      <c r="I17" s="16">
        <f t="shared" si="0"/>
        <v>2013</v>
      </c>
      <c r="J17" s="16">
        <f t="shared" si="0"/>
        <v>2014</v>
      </c>
      <c r="K17" s="16">
        <f t="shared" si="0"/>
        <v>2015</v>
      </c>
      <c r="L17" s="16">
        <f t="shared" si="0"/>
        <v>2016</v>
      </c>
      <c r="M17" s="16" t="s">
        <v>58</v>
      </c>
      <c r="N17" s="10"/>
    </row>
    <row r="18" spans="1:14">
      <c r="A18" s="13" t="s">
        <v>16</v>
      </c>
      <c r="B18" s="17">
        <v>0.96</v>
      </c>
      <c r="C18" s="17">
        <f>+B18*(1+$C$7)</f>
        <v>1.008</v>
      </c>
      <c r="D18" s="17">
        <f t="shared" ref="D18:L18" si="1">+C18*(1+$C$7)</f>
        <v>1.0584</v>
      </c>
      <c r="E18" s="17">
        <f t="shared" si="1"/>
        <v>1.1113200000000001</v>
      </c>
      <c r="F18" s="17">
        <f t="shared" si="1"/>
        <v>1.1668860000000001</v>
      </c>
      <c r="G18" s="17">
        <f t="shared" si="1"/>
        <v>1.2252303000000002</v>
      </c>
      <c r="H18" s="17">
        <f t="shared" si="1"/>
        <v>1.2864918150000002</v>
      </c>
      <c r="I18" s="17">
        <f t="shared" si="1"/>
        <v>1.3508164057500003</v>
      </c>
      <c r="J18" s="17">
        <f t="shared" si="1"/>
        <v>1.4183572260375004</v>
      </c>
      <c r="K18" s="17">
        <f t="shared" si="1"/>
        <v>1.4892750873393754</v>
      </c>
      <c r="L18" s="17">
        <f t="shared" si="1"/>
        <v>1.5637388417063443</v>
      </c>
      <c r="M18" s="17">
        <f>+L18*(1+$C$8)</f>
        <v>1.6106510069575346</v>
      </c>
      <c r="N18" s="21"/>
    </row>
    <row r="19" spans="1:14">
      <c r="A19" s="18" t="s">
        <v>45</v>
      </c>
      <c r="B19" s="22">
        <f>NPV(C13,C18:L18)+(M18/($C$14-$C$8)/((1+$C$13)^10))</f>
        <v>26.000000000000028</v>
      </c>
    </row>
    <row r="20" spans="1:14" ht="6.75" customHeight="1">
      <c r="A20" s="20"/>
      <c r="L20" s="19"/>
    </row>
    <row r="21" spans="1:14" ht="15">
      <c r="A21" s="36" t="s">
        <v>65</v>
      </c>
      <c r="B21" s="37">
        <f>+B19</f>
        <v>26.000000000000028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4">
      <c r="B22" s="12"/>
      <c r="C22" s="12"/>
    </row>
    <row r="23" spans="1:14">
      <c r="B23" s="12"/>
      <c r="C23" s="12"/>
    </row>
    <row r="24" spans="1:14">
      <c r="B24" s="12"/>
      <c r="C24" s="12"/>
    </row>
    <row r="25" spans="1:14">
      <c r="B25" s="12"/>
      <c r="C25" s="12"/>
    </row>
    <row r="26" spans="1:14">
      <c r="B26" s="12"/>
      <c r="C26" s="12"/>
    </row>
    <row r="27" spans="1:14">
      <c r="B27" s="12"/>
      <c r="C27" s="12"/>
    </row>
    <row r="28" spans="1:14">
      <c r="B28" s="12"/>
      <c r="C28" s="12"/>
    </row>
    <row r="29" spans="1:14">
      <c r="B29" s="12"/>
      <c r="C29" s="12"/>
    </row>
    <row r="30" spans="1:14">
      <c r="B30" s="12"/>
      <c r="C30" s="12"/>
    </row>
    <row r="31" spans="1:14">
      <c r="B31" s="12"/>
      <c r="C31" s="12"/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M43"/>
  <sheetViews>
    <sheetView topLeftCell="A7" zoomScaleNormal="100" workbookViewId="0">
      <selection activeCell="J26" sqref="J26"/>
    </sheetView>
  </sheetViews>
  <sheetFormatPr defaultRowHeight="14.25"/>
  <cols>
    <col min="1" max="1" width="39.42578125" style="2" customWidth="1"/>
    <col min="2" max="2" width="13.42578125" style="2" customWidth="1"/>
    <col min="3" max="7" width="9.42578125" style="10" bestFit="1" customWidth="1"/>
    <col min="8" max="12" width="9.42578125" style="2" bestFit="1" customWidth="1"/>
    <col min="13" max="13" width="12.28515625" style="2" bestFit="1" customWidth="1"/>
    <col min="14" max="14" width="11.7109375" style="2" bestFit="1" customWidth="1"/>
    <col min="15" max="15" width="10.5703125" style="2" bestFit="1" customWidth="1"/>
    <col min="16" max="16384" width="9.140625" style="2"/>
  </cols>
  <sheetData>
    <row r="1" spans="1:13" ht="15">
      <c r="A1" s="23" t="s">
        <v>74</v>
      </c>
    </row>
    <row r="3" spans="1:13">
      <c r="A3" s="45" t="s">
        <v>70</v>
      </c>
    </row>
    <row r="4" spans="1:13">
      <c r="A4" s="2" t="s">
        <v>68</v>
      </c>
      <c r="B4" s="4">
        <v>0.05</v>
      </c>
      <c r="C4" s="2"/>
    </row>
    <row r="5" spans="1:13">
      <c r="A5" s="2" t="s">
        <v>26</v>
      </c>
      <c r="B5" s="4">
        <v>0.03</v>
      </c>
      <c r="C5" s="2"/>
    </row>
    <row r="6" spans="1:13">
      <c r="A6" s="2" t="s">
        <v>73</v>
      </c>
      <c r="D6" s="35">
        <v>0.10199999999999999</v>
      </c>
    </row>
    <row r="7" spans="1:13">
      <c r="A7" s="2" t="s">
        <v>36</v>
      </c>
    </row>
    <row r="8" spans="1:13">
      <c r="A8" s="44" t="s">
        <v>37</v>
      </c>
      <c r="E8" s="32"/>
    </row>
    <row r="9" spans="1:13">
      <c r="A9" s="2" t="s">
        <v>38</v>
      </c>
    </row>
    <row r="10" spans="1:13">
      <c r="A10" s="2" t="s">
        <v>35</v>
      </c>
    </row>
    <row r="11" spans="1:13">
      <c r="A11" s="2" t="s">
        <v>66</v>
      </c>
    </row>
    <row r="12" spans="1:13">
      <c r="A12" s="2" t="s">
        <v>41</v>
      </c>
    </row>
    <row r="13" spans="1:13">
      <c r="A13" s="2" t="s">
        <v>69</v>
      </c>
      <c r="B13" s="4">
        <v>0.05</v>
      </c>
      <c r="D13" s="43"/>
    </row>
    <row r="15" spans="1:13" ht="15">
      <c r="A15" s="25"/>
      <c r="B15" s="14" t="s">
        <v>46</v>
      </c>
      <c r="C15" s="14" t="s">
        <v>47</v>
      </c>
      <c r="D15" s="14" t="s">
        <v>48</v>
      </c>
      <c r="E15" s="14" t="s">
        <v>49</v>
      </c>
      <c r="F15" s="14" t="s">
        <v>50</v>
      </c>
      <c r="G15" s="14" t="s">
        <v>51</v>
      </c>
      <c r="H15" s="14" t="s">
        <v>52</v>
      </c>
      <c r="I15" s="14" t="s">
        <v>53</v>
      </c>
      <c r="J15" s="14" t="s">
        <v>54</v>
      </c>
      <c r="K15" s="14" t="s">
        <v>55</v>
      </c>
      <c r="L15" s="14" t="s">
        <v>56</v>
      </c>
      <c r="M15" s="14" t="s">
        <v>57</v>
      </c>
    </row>
    <row r="16" spans="1:13">
      <c r="A16" s="25" t="s">
        <v>71</v>
      </c>
      <c r="B16" s="15" t="s">
        <v>11</v>
      </c>
      <c r="C16" s="16">
        <f>+B16+1</f>
        <v>2007</v>
      </c>
      <c r="D16" s="16">
        <f t="shared" ref="D16:L16" si="0">+C16+1</f>
        <v>2008</v>
      </c>
      <c r="E16" s="16">
        <f t="shared" si="0"/>
        <v>2009</v>
      </c>
      <c r="F16" s="16">
        <f t="shared" si="0"/>
        <v>2010</v>
      </c>
      <c r="G16" s="16">
        <f t="shared" si="0"/>
        <v>2011</v>
      </c>
      <c r="H16" s="16">
        <f t="shared" si="0"/>
        <v>2012</v>
      </c>
      <c r="I16" s="16">
        <f t="shared" si="0"/>
        <v>2013</v>
      </c>
      <c r="J16" s="16">
        <f t="shared" si="0"/>
        <v>2014</v>
      </c>
      <c r="K16" s="16">
        <f t="shared" si="0"/>
        <v>2015</v>
      </c>
      <c r="L16" s="16">
        <f t="shared" si="0"/>
        <v>2016</v>
      </c>
      <c r="M16" s="16" t="s">
        <v>58</v>
      </c>
    </row>
    <row r="17" spans="1:13">
      <c r="A17" s="25" t="s">
        <v>33</v>
      </c>
      <c r="B17" s="28">
        <v>51110</v>
      </c>
      <c r="C17" s="46">
        <f>B17*(1+$B$4)</f>
        <v>53665.5</v>
      </c>
      <c r="D17" s="46">
        <f t="shared" ref="D17:L17" si="1">C17*(1+$B$4)</f>
        <v>56348.775000000001</v>
      </c>
      <c r="E17" s="46">
        <f t="shared" si="1"/>
        <v>59166.213750000003</v>
      </c>
      <c r="F17" s="46">
        <f t="shared" si="1"/>
        <v>62124.524437500004</v>
      </c>
      <c r="G17" s="46">
        <f t="shared" si="1"/>
        <v>65230.750659375008</v>
      </c>
      <c r="H17" s="46">
        <f t="shared" si="1"/>
        <v>68492.288192343767</v>
      </c>
      <c r="I17" s="46">
        <f t="shared" si="1"/>
        <v>71916.902601960959</v>
      </c>
      <c r="J17" s="46">
        <f t="shared" si="1"/>
        <v>75512.747732059011</v>
      </c>
      <c r="K17" s="46">
        <f t="shared" si="1"/>
        <v>79288.385118661972</v>
      </c>
      <c r="L17" s="46">
        <f t="shared" si="1"/>
        <v>83252.804374595071</v>
      </c>
      <c r="M17" s="46">
        <f>L17*(1+$B$5)</f>
        <v>85750.388505832932</v>
      </c>
    </row>
    <row r="18" spans="1:13">
      <c r="A18" s="24" t="s">
        <v>39</v>
      </c>
      <c r="B18" s="29"/>
      <c r="C18" s="47">
        <f t="shared" ref="C18:M18" si="2">-C17*(1-0.395)</f>
        <v>-32467.627499999999</v>
      </c>
      <c r="D18" s="47">
        <f t="shared" si="2"/>
        <v>-34091.008875</v>
      </c>
      <c r="E18" s="47">
        <f t="shared" si="2"/>
        <v>-35795.559318749998</v>
      </c>
      <c r="F18" s="47">
        <f t="shared" si="2"/>
        <v>-37585.337284687499</v>
      </c>
      <c r="G18" s="47">
        <f t="shared" si="2"/>
        <v>-39464.604148921877</v>
      </c>
      <c r="H18" s="47">
        <f t="shared" si="2"/>
        <v>-41437.834356367981</v>
      </c>
      <c r="I18" s="47">
        <f t="shared" si="2"/>
        <v>-43509.726074186379</v>
      </c>
      <c r="J18" s="47">
        <f t="shared" si="2"/>
        <v>-45685.212377895703</v>
      </c>
      <c r="K18" s="47">
        <f t="shared" si="2"/>
        <v>-47969.472996790493</v>
      </c>
      <c r="L18" s="47">
        <f t="shared" si="2"/>
        <v>-50367.946646630015</v>
      </c>
      <c r="M18" s="47">
        <f t="shared" si="2"/>
        <v>-51878.985046028924</v>
      </c>
    </row>
    <row r="19" spans="1:13">
      <c r="A19" s="25" t="s">
        <v>34</v>
      </c>
      <c r="B19" s="30"/>
      <c r="C19" s="48">
        <f t="shared" ref="C19:M19" si="3">+C17+C18</f>
        <v>21197.872500000001</v>
      </c>
      <c r="D19" s="48">
        <f t="shared" si="3"/>
        <v>22257.766125000002</v>
      </c>
      <c r="E19" s="48">
        <f t="shared" si="3"/>
        <v>23370.654431250005</v>
      </c>
      <c r="F19" s="48">
        <f t="shared" si="3"/>
        <v>24539.187152812505</v>
      </c>
      <c r="G19" s="48">
        <f t="shared" si="3"/>
        <v>25766.146510453131</v>
      </c>
      <c r="H19" s="48">
        <f t="shared" si="3"/>
        <v>27054.453835975786</v>
      </c>
      <c r="I19" s="48">
        <f t="shared" si="3"/>
        <v>28407.17652777458</v>
      </c>
      <c r="J19" s="48">
        <f t="shared" si="3"/>
        <v>29827.535354163309</v>
      </c>
      <c r="K19" s="48">
        <f t="shared" si="3"/>
        <v>31318.912121871479</v>
      </c>
      <c r="L19" s="48">
        <f t="shared" si="3"/>
        <v>32884.857727965056</v>
      </c>
      <c r="M19" s="48">
        <f t="shared" si="3"/>
        <v>33871.403459804009</v>
      </c>
    </row>
    <row r="20" spans="1:13">
      <c r="A20" s="24" t="s">
        <v>13</v>
      </c>
      <c r="B20" s="29"/>
      <c r="C20" s="47">
        <f>-C17*0.106</f>
        <v>-5688.5429999999997</v>
      </c>
      <c r="D20" s="47">
        <f t="shared" ref="D20:M20" si="4">-D17*0.106</f>
        <v>-5972.9701500000001</v>
      </c>
      <c r="E20" s="47">
        <f t="shared" si="4"/>
        <v>-6271.6186575000002</v>
      </c>
      <c r="F20" s="47">
        <f t="shared" si="4"/>
        <v>-6585.1995903750003</v>
      </c>
      <c r="G20" s="47">
        <f t="shared" si="4"/>
        <v>-6914.459569893751</v>
      </c>
      <c r="H20" s="47">
        <f t="shared" si="4"/>
        <v>-7260.1825483884395</v>
      </c>
      <c r="I20" s="47">
        <f t="shared" si="4"/>
        <v>-7623.1916758078614</v>
      </c>
      <c r="J20" s="47">
        <f t="shared" si="4"/>
        <v>-8004.3512595982547</v>
      </c>
      <c r="K20" s="47">
        <f t="shared" si="4"/>
        <v>-8404.5688225781687</v>
      </c>
      <c r="L20" s="47">
        <f t="shared" si="4"/>
        <v>-8824.7972637070779</v>
      </c>
      <c r="M20" s="47">
        <f t="shared" si="4"/>
        <v>-9089.5411816182914</v>
      </c>
    </row>
    <row r="21" spans="1:13">
      <c r="A21" s="2" t="s">
        <v>14</v>
      </c>
      <c r="B21" s="30"/>
      <c r="C21" s="48">
        <f t="shared" ref="C21:M21" si="5">+C19+C20</f>
        <v>15509.329500000002</v>
      </c>
      <c r="D21" s="48">
        <f t="shared" si="5"/>
        <v>16284.795975000001</v>
      </c>
      <c r="E21" s="48">
        <f t="shared" si="5"/>
        <v>17099.035773750005</v>
      </c>
      <c r="F21" s="48">
        <f t="shared" si="5"/>
        <v>17953.987562437505</v>
      </c>
      <c r="G21" s="48">
        <f t="shared" si="5"/>
        <v>18851.686940559379</v>
      </c>
      <c r="H21" s="48">
        <f t="shared" si="5"/>
        <v>19794.271287587348</v>
      </c>
      <c r="I21" s="48">
        <f t="shared" si="5"/>
        <v>20783.984851966718</v>
      </c>
      <c r="J21" s="48">
        <f t="shared" si="5"/>
        <v>21823.184094565055</v>
      </c>
      <c r="K21" s="48">
        <f t="shared" si="5"/>
        <v>22914.343299293309</v>
      </c>
      <c r="L21" s="48">
        <f t="shared" si="5"/>
        <v>24060.060464257978</v>
      </c>
      <c r="M21" s="48">
        <f t="shared" si="5"/>
        <v>24781.862278185719</v>
      </c>
    </row>
    <row r="22" spans="1:13">
      <c r="A22" s="24" t="s">
        <v>40</v>
      </c>
      <c r="B22" s="29"/>
      <c r="C22" s="47">
        <f t="shared" ref="C22:L22" si="6">-C21*0.225</f>
        <v>-3489.5991375000003</v>
      </c>
      <c r="D22" s="47">
        <f t="shared" si="6"/>
        <v>-3664.0790943750003</v>
      </c>
      <c r="E22" s="47">
        <f t="shared" si="6"/>
        <v>-3847.2830490937513</v>
      </c>
      <c r="F22" s="47">
        <f t="shared" si="6"/>
        <v>-4039.6472015484387</v>
      </c>
      <c r="G22" s="47">
        <f t="shared" si="6"/>
        <v>-4241.6295616258603</v>
      </c>
      <c r="H22" s="47">
        <f t="shared" si="6"/>
        <v>-4453.7110397071538</v>
      </c>
      <c r="I22" s="47">
        <f t="shared" si="6"/>
        <v>-4676.3965916925117</v>
      </c>
      <c r="J22" s="47">
        <f t="shared" si="6"/>
        <v>-4910.2164212771377</v>
      </c>
      <c r="K22" s="47">
        <f t="shared" si="6"/>
        <v>-5155.727242340995</v>
      </c>
      <c r="L22" s="47">
        <f t="shared" si="6"/>
        <v>-5413.5136044580449</v>
      </c>
      <c r="M22" s="47">
        <f>-M21*0.225</f>
        <v>-5575.9190125917867</v>
      </c>
    </row>
    <row r="23" spans="1:13">
      <c r="A23" s="2" t="s">
        <v>15</v>
      </c>
      <c r="B23" s="31"/>
      <c r="C23" s="49">
        <f t="shared" ref="C23:L23" si="7">+C21+C22</f>
        <v>12019.730362500002</v>
      </c>
      <c r="D23" s="49">
        <f t="shared" si="7"/>
        <v>12620.716880625001</v>
      </c>
      <c r="E23" s="49">
        <f t="shared" si="7"/>
        <v>13251.752724656253</v>
      </c>
      <c r="F23" s="49">
        <f t="shared" si="7"/>
        <v>13914.340360889066</v>
      </c>
      <c r="G23" s="49">
        <f t="shared" si="7"/>
        <v>14610.057378933518</v>
      </c>
      <c r="H23" s="49">
        <f t="shared" si="7"/>
        <v>15340.560247880194</v>
      </c>
      <c r="I23" s="49">
        <f t="shared" si="7"/>
        <v>16107.588260274206</v>
      </c>
      <c r="J23" s="49">
        <f t="shared" si="7"/>
        <v>16912.967673287916</v>
      </c>
      <c r="K23" s="49">
        <f t="shared" si="7"/>
        <v>17758.616056952313</v>
      </c>
      <c r="L23" s="49">
        <f t="shared" si="7"/>
        <v>18646.546859799935</v>
      </c>
      <c r="M23" s="49">
        <f>+M21+M22</f>
        <v>19205.943265593931</v>
      </c>
    </row>
    <row r="24" spans="1:13" ht="6" customHeight="1">
      <c r="A24" s="26"/>
      <c r="B24" s="2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</row>
    <row r="25" spans="1:13">
      <c r="A25" s="25" t="s">
        <v>42</v>
      </c>
      <c r="B25" s="28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</row>
    <row r="26" spans="1:13">
      <c r="A26" s="25" t="s">
        <v>43</v>
      </c>
      <c r="B26" s="28"/>
      <c r="C26" s="46">
        <f t="shared" ref="C26:L26" si="8">-C20</f>
        <v>5688.5429999999997</v>
      </c>
      <c r="D26" s="46">
        <f t="shared" si="8"/>
        <v>5972.9701500000001</v>
      </c>
      <c r="E26" s="46">
        <f t="shared" si="8"/>
        <v>6271.6186575000002</v>
      </c>
      <c r="F26" s="46">
        <f t="shared" si="8"/>
        <v>6585.1995903750003</v>
      </c>
      <c r="G26" s="46">
        <f t="shared" si="8"/>
        <v>6914.459569893751</v>
      </c>
      <c r="H26" s="46">
        <f t="shared" si="8"/>
        <v>7260.1825483884395</v>
      </c>
      <c r="I26" s="46">
        <f t="shared" si="8"/>
        <v>7623.1916758078614</v>
      </c>
      <c r="J26" s="46">
        <f t="shared" si="8"/>
        <v>8004.3512595982547</v>
      </c>
      <c r="K26" s="46">
        <f t="shared" si="8"/>
        <v>8404.5688225781687</v>
      </c>
      <c r="L26" s="46">
        <f t="shared" si="8"/>
        <v>8824.7972637070779</v>
      </c>
      <c r="M26" s="46">
        <f>-M20</f>
        <v>9089.5411816182914</v>
      </c>
    </row>
    <row r="27" spans="1:13">
      <c r="A27" s="25" t="s">
        <v>44</v>
      </c>
      <c r="B27" s="28"/>
      <c r="C27" s="46">
        <f>-0.3*7225</f>
        <v>-2167.5</v>
      </c>
      <c r="D27" s="46">
        <f>+C27*(1+$B$13)</f>
        <v>-2275.875</v>
      </c>
      <c r="E27" s="46">
        <f t="shared" ref="E27:M27" si="9">+D27*(1+$B$13)</f>
        <v>-2389.6687500000003</v>
      </c>
      <c r="F27" s="46">
        <f t="shared" si="9"/>
        <v>-2509.1521875000003</v>
      </c>
      <c r="G27" s="46">
        <f t="shared" si="9"/>
        <v>-2634.6097968750005</v>
      </c>
      <c r="H27" s="46">
        <f t="shared" si="9"/>
        <v>-2766.3402867187506</v>
      </c>
      <c r="I27" s="46">
        <f t="shared" si="9"/>
        <v>-2904.6573010546881</v>
      </c>
      <c r="J27" s="46">
        <f t="shared" si="9"/>
        <v>-3049.8901661074228</v>
      </c>
      <c r="K27" s="46">
        <f t="shared" si="9"/>
        <v>-3202.3846744127941</v>
      </c>
      <c r="L27" s="46">
        <f t="shared" si="9"/>
        <v>-3362.5039081334339</v>
      </c>
      <c r="M27" s="46">
        <f t="shared" si="9"/>
        <v>-3530.6291035401059</v>
      </c>
    </row>
    <row r="28" spans="1:13">
      <c r="A28" s="33" t="s">
        <v>59</v>
      </c>
      <c r="B28" s="29"/>
      <c r="C28" s="47">
        <f t="shared" ref="C28:L28" si="10">-C42</f>
        <v>-325.04235000000062</v>
      </c>
      <c r="D28" s="47">
        <f t="shared" si="10"/>
        <v>-439.2521175000004</v>
      </c>
      <c r="E28" s="47">
        <f t="shared" si="10"/>
        <v>-461.2147233750004</v>
      </c>
      <c r="F28" s="47">
        <f t="shared" si="10"/>
        <v>-484.27545954374955</v>
      </c>
      <c r="G28" s="47">
        <f t="shared" si="10"/>
        <v>-508.489232520938</v>
      </c>
      <c r="H28" s="47">
        <f t="shared" si="10"/>
        <v>-533.91369414698556</v>
      </c>
      <c r="I28" s="47">
        <f t="shared" si="10"/>
        <v>-560.60937885433577</v>
      </c>
      <c r="J28" s="47">
        <f t="shared" si="10"/>
        <v>-588.63984779705061</v>
      </c>
      <c r="K28" s="47">
        <f t="shared" si="10"/>
        <v>-618.07184018690396</v>
      </c>
      <c r="L28" s="47">
        <f t="shared" si="10"/>
        <v>-648.97543219624868</v>
      </c>
      <c r="M28" s="47">
        <f>-M42</f>
        <v>-408.85452228363965</v>
      </c>
    </row>
    <row r="29" spans="1:13">
      <c r="A29" s="2" t="s">
        <v>60</v>
      </c>
      <c r="C29" s="34">
        <f>SUM(C23:C28)</f>
        <v>15215.731012500004</v>
      </c>
      <c r="D29" s="34">
        <f t="shared" ref="D29:M29" si="11">SUM(D23:D28)</f>
        <v>15878.559913125002</v>
      </c>
      <c r="E29" s="34">
        <f t="shared" si="11"/>
        <v>16672.487908781251</v>
      </c>
      <c r="F29" s="34">
        <f t="shared" si="11"/>
        <v>17506.112304220314</v>
      </c>
      <c r="G29" s="34">
        <f t="shared" si="11"/>
        <v>18381.417919431333</v>
      </c>
      <c r="H29" s="34">
        <f t="shared" si="11"/>
        <v>19300.488815402899</v>
      </c>
      <c r="I29" s="34">
        <f t="shared" si="11"/>
        <v>20265.513256173042</v>
      </c>
      <c r="J29" s="34">
        <f t="shared" si="11"/>
        <v>21278.788918981696</v>
      </c>
      <c r="K29" s="34">
        <f t="shared" si="11"/>
        <v>22342.728364930783</v>
      </c>
      <c r="L29" s="34">
        <f t="shared" si="11"/>
        <v>23459.864783177331</v>
      </c>
      <c r="M29" s="34">
        <f t="shared" si="11"/>
        <v>24356.000821388476</v>
      </c>
    </row>
    <row r="30" spans="1:13" ht="6" customHeight="1">
      <c r="A30" s="26"/>
      <c r="B30" s="27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</row>
    <row r="31" spans="1:13" ht="15" customHeight="1">
      <c r="A31" s="18" t="s">
        <v>63</v>
      </c>
      <c r="B31" s="28">
        <f>NPV(D6,C29:L29)+((M29/($D$6-$B$5)/((1+$D$6)^10)))</f>
        <v>239626.18299603573</v>
      </c>
    </row>
    <row r="32" spans="1:13" ht="15" customHeight="1">
      <c r="A32" s="25" t="s">
        <v>61</v>
      </c>
      <c r="B32" s="28">
        <v>15502</v>
      </c>
      <c r="H32" s="10"/>
      <c r="I32" s="10"/>
      <c r="J32" s="10"/>
      <c r="K32" s="10"/>
      <c r="L32" s="10"/>
      <c r="M32" s="10"/>
    </row>
    <row r="33" spans="1:13" ht="15" customHeight="1">
      <c r="A33" s="33" t="s">
        <v>62</v>
      </c>
      <c r="B33" s="29">
        <v>-11567</v>
      </c>
    </row>
    <row r="34" spans="1:13" ht="15" customHeight="1">
      <c r="A34" s="20" t="s">
        <v>64</v>
      </c>
      <c r="B34" s="40">
        <f>+B31+B32+B33</f>
        <v>243561.18299603573</v>
      </c>
    </row>
    <row r="35" spans="1:13" ht="15" customHeight="1">
      <c r="A35" s="41" t="s">
        <v>65</v>
      </c>
      <c r="B35" s="42">
        <f>+B34/7225</f>
        <v>33.710890380074147</v>
      </c>
    </row>
    <row r="37" spans="1:13" ht="15">
      <c r="A37" s="25" t="s">
        <v>12</v>
      </c>
      <c r="B37" s="14" t="s">
        <v>0</v>
      </c>
      <c r="C37" s="14" t="s">
        <v>1</v>
      </c>
      <c r="D37" s="14" t="s">
        <v>2</v>
      </c>
      <c r="E37" s="14" t="s">
        <v>3</v>
      </c>
      <c r="F37" s="14" t="s">
        <v>4</v>
      </c>
      <c r="G37" s="14" t="s">
        <v>5</v>
      </c>
      <c r="H37" s="14" t="s">
        <v>6</v>
      </c>
      <c r="I37" s="14" t="s">
        <v>7</v>
      </c>
      <c r="J37" s="14" t="s">
        <v>8</v>
      </c>
      <c r="K37" s="14" t="s">
        <v>9</v>
      </c>
      <c r="L37" s="14" t="s">
        <v>10</v>
      </c>
      <c r="M37" s="14" t="s">
        <v>20</v>
      </c>
    </row>
    <row r="38" spans="1:13">
      <c r="A38" s="25" t="s">
        <v>28</v>
      </c>
      <c r="B38" s="15" t="s">
        <v>11</v>
      </c>
      <c r="C38" s="16">
        <f>+B38+1</f>
        <v>2007</v>
      </c>
      <c r="D38" s="16">
        <f t="shared" ref="D38:L38" si="12">+C38+1</f>
        <v>2008</v>
      </c>
      <c r="E38" s="16">
        <f t="shared" si="12"/>
        <v>2009</v>
      </c>
      <c r="F38" s="16">
        <f t="shared" si="12"/>
        <v>2010</v>
      </c>
      <c r="G38" s="16">
        <f t="shared" si="12"/>
        <v>2011</v>
      </c>
      <c r="H38" s="16">
        <f t="shared" si="12"/>
        <v>2012</v>
      </c>
      <c r="I38" s="16">
        <f t="shared" si="12"/>
        <v>2013</v>
      </c>
      <c r="J38" s="16">
        <f t="shared" si="12"/>
        <v>2014</v>
      </c>
      <c r="K38" s="16">
        <f t="shared" si="12"/>
        <v>2015</v>
      </c>
      <c r="L38" s="16">
        <f t="shared" si="12"/>
        <v>2016</v>
      </c>
      <c r="M38" s="16" t="s">
        <v>21</v>
      </c>
    </row>
    <row r="39" spans="1:13">
      <c r="A39" s="25" t="s">
        <v>31</v>
      </c>
      <c r="B39" s="19">
        <v>0</v>
      </c>
      <c r="C39" s="28">
        <f>+C17*0.2-10352</f>
        <v>381.10000000000036</v>
      </c>
      <c r="D39" s="28">
        <f t="shared" ref="D39:M39" si="13">+D17*0.2-C17*0.2</f>
        <v>536.65500000000065</v>
      </c>
      <c r="E39" s="28">
        <f t="shared" si="13"/>
        <v>563.48775000000023</v>
      </c>
      <c r="F39" s="28">
        <f t="shared" si="13"/>
        <v>591.66213749999952</v>
      </c>
      <c r="G39" s="28">
        <f t="shared" si="13"/>
        <v>621.24524437500077</v>
      </c>
      <c r="H39" s="28">
        <f t="shared" si="13"/>
        <v>652.3075065937519</v>
      </c>
      <c r="I39" s="28">
        <f t="shared" si="13"/>
        <v>684.92288192343949</v>
      </c>
      <c r="J39" s="28">
        <f t="shared" si="13"/>
        <v>719.1690260196101</v>
      </c>
      <c r="K39" s="28">
        <f t="shared" si="13"/>
        <v>755.12747732059142</v>
      </c>
      <c r="L39" s="28">
        <f t="shared" si="13"/>
        <v>792.88385118661972</v>
      </c>
      <c r="M39" s="28">
        <f t="shared" si="13"/>
        <v>499.5168262475745</v>
      </c>
    </row>
    <row r="40" spans="1:13">
      <c r="A40" s="25" t="s">
        <v>32</v>
      </c>
      <c r="B40" s="19">
        <v>0</v>
      </c>
      <c r="C40" s="28">
        <f>-C18*0.06-1892</f>
        <v>56.05764999999974</v>
      </c>
      <c r="D40" s="28">
        <f t="shared" ref="D40:M40" si="14">-D18*0.06+C18*0.06</f>
        <v>97.40288250000026</v>
      </c>
      <c r="E40" s="28">
        <f t="shared" si="14"/>
        <v>102.27302662499983</v>
      </c>
      <c r="F40" s="28">
        <f t="shared" si="14"/>
        <v>107.38667795624997</v>
      </c>
      <c r="G40" s="28">
        <f t="shared" si="14"/>
        <v>112.75601185406276</v>
      </c>
      <c r="H40" s="28">
        <f t="shared" si="14"/>
        <v>118.39381244676633</v>
      </c>
      <c r="I40" s="28">
        <f t="shared" si="14"/>
        <v>124.31350306910372</v>
      </c>
      <c r="J40" s="28">
        <f t="shared" si="14"/>
        <v>130.52917822255949</v>
      </c>
      <c r="K40" s="28">
        <f t="shared" si="14"/>
        <v>137.05563713368747</v>
      </c>
      <c r="L40" s="28">
        <f t="shared" si="14"/>
        <v>143.90841899037105</v>
      </c>
      <c r="M40" s="28">
        <f t="shared" si="14"/>
        <v>90.662303963934846</v>
      </c>
    </row>
    <row r="41" spans="1:13" ht="6" customHeight="1">
      <c r="A41" s="26"/>
      <c r="B41" s="27"/>
      <c r="C41" s="38"/>
      <c r="D41" s="38"/>
      <c r="E41" s="38"/>
      <c r="F41" s="38"/>
      <c r="G41" s="38"/>
      <c r="H41" s="39"/>
      <c r="I41" s="39"/>
      <c r="J41" s="39"/>
      <c r="K41" s="39"/>
      <c r="L41" s="39"/>
      <c r="M41" s="39"/>
    </row>
    <row r="42" spans="1:13">
      <c r="A42" s="25" t="s">
        <v>72</v>
      </c>
      <c r="B42" s="19">
        <f>+B39-B41</f>
        <v>0</v>
      </c>
      <c r="C42" s="28">
        <f>+C39-C40</f>
        <v>325.04235000000062</v>
      </c>
      <c r="D42" s="28">
        <f t="shared" ref="D42:M42" si="15">+D39-D40</f>
        <v>439.2521175000004</v>
      </c>
      <c r="E42" s="28">
        <f t="shared" si="15"/>
        <v>461.2147233750004</v>
      </c>
      <c r="F42" s="28">
        <f t="shared" si="15"/>
        <v>484.27545954374955</v>
      </c>
      <c r="G42" s="28">
        <f t="shared" si="15"/>
        <v>508.489232520938</v>
      </c>
      <c r="H42" s="28">
        <f t="shared" si="15"/>
        <v>533.91369414698556</v>
      </c>
      <c r="I42" s="28">
        <f t="shared" si="15"/>
        <v>560.60937885433577</v>
      </c>
      <c r="J42" s="28">
        <f t="shared" si="15"/>
        <v>588.63984779705061</v>
      </c>
      <c r="K42" s="28">
        <f t="shared" si="15"/>
        <v>618.07184018690396</v>
      </c>
      <c r="L42" s="28">
        <f t="shared" si="15"/>
        <v>648.97543219624868</v>
      </c>
      <c r="M42" s="28">
        <f t="shared" si="15"/>
        <v>408.85452228363965</v>
      </c>
    </row>
    <row r="43" spans="1:13" ht="12" customHeight="1"/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Dividend Discount Model</vt:lpstr>
      <vt:lpstr>DCF 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Janice Song</dc:creator>
  <cp:lastModifiedBy>skim</cp:lastModifiedBy>
  <dcterms:created xsi:type="dcterms:W3CDTF">2013-09-17T01:41:42Z</dcterms:created>
  <dcterms:modified xsi:type="dcterms:W3CDTF">2014-01-13T18:37:27Z</dcterms:modified>
</cp:coreProperties>
</file>