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35" windowWidth="20115" windowHeight="7935" activeTab="2"/>
  </bookViews>
  <sheets>
    <sheet name="March 26 " sheetId="1" r:id="rId1"/>
    <sheet name="March 28" sheetId="2" r:id="rId2"/>
    <sheet name="April 1- Review" sheetId="3" r:id="rId3"/>
  </sheets>
  <calcPr calcId="145621"/>
</workbook>
</file>

<file path=xl/calcChain.xml><?xml version="1.0" encoding="utf-8"?>
<calcChain xmlns="http://schemas.openxmlformats.org/spreadsheetml/2006/main">
  <c r="F109" i="3" l="1"/>
  <c r="E90" i="3"/>
  <c r="C91" i="3" s="1"/>
  <c r="D91" i="3" s="1"/>
  <c r="E91" i="3" s="1"/>
  <c r="C92" i="3" s="1"/>
  <c r="D92" i="3" l="1"/>
  <c r="B98" i="3" s="1"/>
  <c r="E92" i="3" l="1"/>
  <c r="L121" i="3" l="1"/>
  <c r="L122" i="3"/>
  <c r="L123" i="3"/>
  <c r="L120" i="3"/>
  <c r="K124" i="3"/>
  <c r="J124" i="3"/>
  <c r="B150" i="3"/>
  <c r="E140" i="3"/>
  <c r="D140" i="3"/>
  <c r="F136" i="3"/>
  <c r="G114" i="3"/>
  <c r="F121" i="3" s="1"/>
  <c r="F122" i="3" s="1"/>
  <c r="F113" i="3"/>
  <c r="F111" i="3"/>
  <c r="G112" i="3" s="1"/>
  <c r="F107" i="3"/>
  <c r="G108" i="3" s="1"/>
  <c r="F105" i="3"/>
  <c r="G106" i="3" s="1"/>
  <c r="F101" i="3"/>
  <c r="D12" i="3"/>
  <c r="E10" i="3" s="1"/>
  <c r="G10" i="3" s="1"/>
  <c r="E17" i="3" s="1"/>
  <c r="D40" i="3" s="1"/>
  <c r="F140" i="3" l="1"/>
  <c r="F130" i="3"/>
  <c r="F123" i="3"/>
  <c r="F124" i="3" s="1"/>
  <c r="E11" i="3"/>
  <c r="G11" i="3" s="1"/>
  <c r="E18" i="3" s="1"/>
  <c r="F115" i="3"/>
  <c r="G116" i="3" s="1"/>
  <c r="F131" i="3" s="1"/>
  <c r="G110" i="3"/>
  <c r="G102" i="3"/>
  <c r="L124" i="3"/>
  <c r="D41" i="3"/>
  <c r="E8" i="3"/>
  <c r="G8" i="3" s="1"/>
  <c r="E15" i="3" s="1"/>
  <c r="E9" i="3"/>
  <c r="G9" i="3" s="1"/>
  <c r="E16" i="3" s="1"/>
  <c r="E12" i="3"/>
  <c r="F103" i="3"/>
  <c r="G104" i="3" s="1"/>
  <c r="E75" i="2"/>
  <c r="E73" i="2"/>
  <c r="E72" i="2"/>
  <c r="E69" i="2"/>
  <c r="E52" i="2"/>
  <c r="F41" i="2"/>
  <c r="G44" i="2"/>
  <c r="F43" i="2"/>
  <c r="G42" i="2"/>
  <c r="F132" i="3" l="1"/>
  <c r="D23" i="3"/>
  <c r="D24" i="3" s="1"/>
  <c r="C46" i="3"/>
  <c r="C50" i="3"/>
  <c r="C44" i="3"/>
  <c r="E44" i="3" s="1"/>
  <c r="G44" i="3" s="1"/>
  <c r="C47" i="3"/>
  <c r="C48" i="3"/>
  <c r="C52" i="3"/>
  <c r="C45" i="3"/>
  <c r="C49" i="3"/>
  <c r="C53" i="3"/>
  <c r="C51" i="3"/>
  <c r="G12" i="3"/>
  <c r="F19" i="3" s="1"/>
  <c r="G12" i="2"/>
  <c r="G13" i="2"/>
  <c r="F7" i="2"/>
  <c r="G8" i="2" s="1"/>
  <c r="F5" i="2"/>
  <c r="G6" i="2" s="1"/>
  <c r="C29" i="3" l="1"/>
  <c r="C28" i="3"/>
  <c r="C35" i="3"/>
  <c r="C36" i="3" s="1"/>
  <c r="C33" i="3"/>
  <c r="C27" i="3"/>
  <c r="E27" i="3" s="1"/>
  <c r="G27" i="3" s="1"/>
  <c r="C32" i="3"/>
  <c r="C34" i="3"/>
  <c r="C31" i="3"/>
  <c r="C30" i="3"/>
  <c r="E45" i="3"/>
  <c r="G45" i="3" s="1"/>
  <c r="F20" i="2"/>
  <c r="F26" i="2" s="1"/>
  <c r="F23" i="2"/>
  <c r="F11" i="2"/>
  <c r="C67" i="1"/>
  <c r="D67" i="1" s="1"/>
  <c r="D69" i="1" s="1"/>
  <c r="C68" i="1"/>
  <c r="D68" i="1"/>
  <c r="C69" i="1"/>
  <c r="E69" i="1"/>
  <c r="D61" i="1"/>
  <c r="D60" i="1"/>
  <c r="D62" i="1" s="1"/>
  <c r="C59" i="1"/>
  <c r="C62" i="1" s="1"/>
  <c r="E62" i="1"/>
  <c r="D52" i="1"/>
  <c r="C52" i="1"/>
  <c r="D48" i="1"/>
  <c r="E48" i="1"/>
  <c r="C48" i="1"/>
  <c r="D46" i="1"/>
  <c r="D41" i="1"/>
  <c r="E41" i="1"/>
  <c r="C41" i="1"/>
  <c r="D40" i="1"/>
  <c r="E46" i="3" l="1"/>
  <c r="E47" i="3" s="1"/>
  <c r="E28" i="3"/>
  <c r="G28" i="3" s="1"/>
  <c r="F31" i="1"/>
  <c r="F33" i="1" s="1"/>
  <c r="G46" i="3" l="1"/>
  <c r="E29" i="3"/>
  <c r="G29" i="3" s="1"/>
  <c r="E30" i="3"/>
  <c r="G47" i="3"/>
  <c r="E48" i="3"/>
  <c r="G34" i="1"/>
  <c r="G32" i="1"/>
  <c r="G48" i="3" l="1"/>
  <c r="E49" i="3"/>
  <c r="G30" i="3"/>
  <c r="E31" i="3"/>
  <c r="G31" i="3" l="1"/>
  <c r="E32" i="3"/>
  <c r="G49" i="3"/>
  <c r="E50" i="3"/>
  <c r="G50" i="3" l="1"/>
  <c r="E51" i="3"/>
  <c r="G32" i="3"/>
  <c r="E33" i="3"/>
  <c r="G51" i="3" l="1"/>
  <c r="E52" i="3"/>
  <c r="G33" i="3"/>
  <c r="E34" i="3"/>
  <c r="G52" i="3" l="1"/>
  <c r="E53" i="3"/>
  <c r="G53" i="3" s="1"/>
  <c r="G34" i="3"/>
  <c r="E35" i="3"/>
  <c r="E36" i="3" l="1"/>
  <c r="G36" i="3" s="1"/>
  <c r="G35" i="3"/>
</calcChain>
</file>

<file path=xl/comments1.xml><?xml version="1.0" encoding="utf-8"?>
<comments xmlns="http://schemas.openxmlformats.org/spreadsheetml/2006/main">
  <authors>
    <author>Owner</author>
  </authors>
  <commentList>
    <comment ref="B20" authorId="0">
      <text>
        <r>
          <rPr>
            <b/>
            <sz val="9"/>
            <color indexed="81"/>
            <rFont val="Tahoma"/>
            <family val="2"/>
          </rPr>
          <t>Using a temporary account</t>
        </r>
      </text>
    </comment>
    <comment ref="I20" authorId="0">
      <text>
        <r>
          <rPr>
            <b/>
            <sz val="9"/>
            <color indexed="81"/>
            <rFont val="Tahoma"/>
            <family val="2"/>
          </rPr>
          <t xml:space="preserve">Using direct accounts
</t>
        </r>
        <r>
          <rPr>
            <sz val="9"/>
            <color indexed="81"/>
            <rFont val="Tahoma"/>
            <family val="2"/>
          </rPr>
          <t xml:space="preserve">
</t>
        </r>
      </text>
    </comment>
    <comment ref="C36" authorId="0">
      <text>
        <r>
          <rPr>
            <b/>
            <sz val="9"/>
            <color indexed="81"/>
            <rFont val="Tahoma"/>
            <family val="2"/>
          </rPr>
          <t>47 000 shares x $8 = $376 000</t>
        </r>
      </text>
    </comment>
    <comment ref="C38" authorId="0">
      <text>
        <r>
          <rPr>
            <sz val="9"/>
            <color indexed="81"/>
            <rFont val="Tahoma"/>
            <family val="2"/>
          </rPr>
          <t xml:space="preserve">Current year + 2011 owed
</t>
        </r>
      </text>
    </comment>
    <comment ref="C39" authorId="0">
      <text>
        <r>
          <rPr>
            <b/>
            <sz val="9"/>
            <color indexed="81"/>
            <rFont val="Tahoma"/>
            <family val="2"/>
          </rPr>
          <t xml:space="preserve">Current Year + Remaining owed
</t>
        </r>
      </text>
    </comment>
    <comment ref="C43" authorId="0">
      <text>
        <r>
          <rPr>
            <b/>
            <sz val="9"/>
            <color indexed="81"/>
            <rFont val="Tahoma"/>
            <family val="2"/>
          </rPr>
          <t>47 000 shares x $8 = $376 000</t>
        </r>
      </text>
    </comment>
    <comment ref="A50" authorId="0">
      <text>
        <r>
          <rPr>
            <b/>
            <sz val="9"/>
            <color indexed="81"/>
            <rFont val="Tahoma"/>
            <family val="2"/>
          </rPr>
          <t>Arrears = shareholders did not get paid</t>
        </r>
      </text>
    </comment>
    <comment ref="C50" authorId="0">
      <text>
        <r>
          <rPr>
            <b/>
            <sz val="9"/>
            <color indexed="81"/>
            <rFont val="Tahoma"/>
            <family val="2"/>
          </rPr>
          <t>15 000 x $4.50 =67500</t>
        </r>
      </text>
    </comment>
    <comment ref="C65" authorId="0">
      <text>
        <r>
          <rPr>
            <b/>
            <sz val="9"/>
            <color indexed="81"/>
            <rFont val="Tahoma"/>
            <family val="2"/>
          </rPr>
          <t>45000 x $5.60 = $252000</t>
        </r>
      </text>
    </comment>
  </commentList>
</comments>
</file>

<file path=xl/comments2.xml><?xml version="1.0" encoding="utf-8"?>
<comments xmlns="http://schemas.openxmlformats.org/spreadsheetml/2006/main">
  <authors>
    <author>Owner</author>
  </authors>
  <commentList>
    <comment ref="B14" authorId="0">
      <text>
        <r>
          <rPr>
            <b/>
            <sz val="9"/>
            <color indexed="81"/>
            <rFont val="Tahoma"/>
            <family val="2"/>
          </rPr>
          <t>if income summary has a debit balance</t>
        </r>
      </text>
    </comment>
  </commentList>
</comments>
</file>

<file path=xl/comments3.xml><?xml version="1.0" encoding="utf-8"?>
<comments xmlns="http://schemas.openxmlformats.org/spreadsheetml/2006/main">
  <authors>
    <author>Owner</author>
  </authors>
  <commentList>
    <comment ref="E72" authorId="0">
      <text>
        <r>
          <rPr>
            <b/>
            <sz val="9"/>
            <color indexed="81"/>
            <rFont val="Tahoma"/>
            <family val="2"/>
          </rPr>
          <t>MUST be listed at cost</t>
        </r>
      </text>
    </comment>
    <comment ref="D157" authorId="0">
      <text>
        <r>
          <rPr>
            <b/>
            <sz val="9"/>
            <color indexed="81"/>
            <rFont val="Tahoma"/>
            <family val="2"/>
          </rPr>
          <t>1) 150 000 x 20% x 12/12 = 24 000
2) 120 000 x 12/12 = 120 000
3) 12 000 x 2/12 = 2000
Weighted Average = 146 000</t>
        </r>
      </text>
    </comment>
  </commentList>
</comments>
</file>

<file path=xl/sharedStrings.xml><?xml version="1.0" encoding="utf-8"?>
<sst xmlns="http://schemas.openxmlformats.org/spreadsheetml/2006/main" count="325" uniqueCount="191">
  <si>
    <t>March 26th 2013</t>
  </si>
  <si>
    <t>Chapter 15</t>
  </si>
  <si>
    <t>Dividends</t>
  </si>
  <si>
    <t>Important Dates:</t>
  </si>
  <si>
    <t>1) Date of declaration</t>
  </si>
  <si>
    <t>2) Date of record</t>
  </si>
  <si>
    <t>3) Date of payment</t>
  </si>
  <si>
    <t>Deficits</t>
  </si>
  <si>
    <t>Reduces total equity</t>
  </si>
  <si>
    <t>Debit balance in retained earnings</t>
  </si>
  <si>
    <t>Corporations cannot pay dividends when there is a deficit</t>
  </si>
  <si>
    <t>Preferred Shares</t>
  </si>
  <si>
    <t>Preferred shares get paid first</t>
  </si>
  <si>
    <t>Preferred shares are not guaranteed to receive dividends</t>
  </si>
  <si>
    <t>Can either be cumulative or non-cumulative</t>
  </si>
  <si>
    <t>Cumulative = If the corporation does not pay you during year 1, they will have two pay you double in year 2</t>
  </si>
  <si>
    <t>QS-11</t>
  </si>
  <si>
    <t>Method 1: Using Cash Dividend Account</t>
  </si>
  <si>
    <t>Method 2: Using Retained Earnings Account</t>
  </si>
  <si>
    <t>Cash Dividends</t>
  </si>
  <si>
    <t>Dividends Payable (Common)</t>
  </si>
  <si>
    <t>Retained Earnings</t>
  </si>
  <si>
    <t>Cash</t>
  </si>
  <si>
    <t>No Entry</t>
  </si>
  <si>
    <t>E4</t>
  </si>
  <si>
    <t>E10</t>
  </si>
  <si>
    <t>Year</t>
  </si>
  <si>
    <t>Preferred</t>
  </si>
  <si>
    <t>Common</t>
  </si>
  <si>
    <t>Total</t>
  </si>
  <si>
    <t>E5-11</t>
  </si>
  <si>
    <t>E13</t>
  </si>
  <si>
    <t>Part 1:</t>
  </si>
  <si>
    <t>Part 2</t>
  </si>
  <si>
    <t>Part 2:</t>
  </si>
  <si>
    <t>P5A</t>
  </si>
  <si>
    <t>Thursday's Class: Statement of Changes in Shareholder's Equity: QS 13, E3, P6A</t>
  </si>
  <si>
    <t>Chapter 16: Stock dividends and stock splits</t>
  </si>
  <si>
    <t>Part 1</t>
  </si>
  <si>
    <t>March 28th, 2013</t>
  </si>
  <si>
    <t>Chapter 15 continued and Chapter 15</t>
  </si>
  <si>
    <t>E15-3</t>
  </si>
  <si>
    <t>Part a)</t>
  </si>
  <si>
    <t>Common Shares</t>
  </si>
  <si>
    <t>Income Summary</t>
  </si>
  <si>
    <t>Organization Expenses</t>
  </si>
  <si>
    <t>Part b)</t>
  </si>
  <si>
    <t>Equity</t>
  </si>
  <si>
    <t>Contributed Capital:</t>
  </si>
  <si>
    <t>Total Contributed Capital</t>
  </si>
  <si>
    <t>Total Equity</t>
  </si>
  <si>
    <t>$2, 50 000 Authorized</t>
  </si>
  <si>
    <t>17 000 issued and outstanding</t>
  </si>
  <si>
    <t>300 0000 Authorized</t>
  </si>
  <si>
    <t>38 000 issued and outstanding</t>
  </si>
  <si>
    <t>Part c)</t>
  </si>
  <si>
    <t>The preferred shares are paid $2.00 each in dividends</t>
  </si>
  <si>
    <t>Chapter 16</t>
  </si>
  <si>
    <t>QS16-2</t>
  </si>
  <si>
    <t>If a 3:1 stock split, 28 0000 shares issued and outstanding turns into 84 000 shares (28000*3)</t>
  </si>
  <si>
    <t>QS16-1</t>
  </si>
  <si>
    <t>(10% x 150 000) = 15 000</t>
  </si>
  <si>
    <t>15 000 x $25</t>
  </si>
  <si>
    <t>Method 1:</t>
  </si>
  <si>
    <t>Method 2:</t>
  </si>
  <si>
    <t>Stock Dividends Distributable</t>
  </si>
  <si>
    <t>Contributed Capital</t>
  </si>
  <si>
    <t>165 000 outstanding</t>
  </si>
  <si>
    <t>375 000 authorized</t>
  </si>
  <si>
    <t>EPS</t>
  </si>
  <si>
    <t xml:space="preserve">Earnings Per Share = </t>
  </si>
  <si>
    <t>Net Income - Preferred Dividend Declared</t>
  </si>
  <si>
    <t>Weighted average common shares outstanding</t>
  </si>
  <si>
    <t>QS16-5</t>
  </si>
  <si>
    <t>NI- Preferred</t>
  </si>
  <si>
    <t># of Shares</t>
  </si>
  <si>
    <t xml:space="preserve">EPS = </t>
  </si>
  <si>
    <t>450000 - 10000</t>
  </si>
  <si>
    <t>200 000 shares</t>
  </si>
  <si>
    <t>2.20 per share</t>
  </si>
  <si>
    <t>QS16-7</t>
  </si>
  <si>
    <t>100 000 x 12/12 =</t>
  </si>
  <si>
    <t xml:space="preserve">40 000 x 11/12 = </t>
  </si>
  <si>
    <t>80 000 x 7/12 =</t>
  </si>
  <si>
    <t>Weighted Average</t>
  </si>
  <si>
    <t>QS16-8</t>
  </si>
  <si>
    <t xml:space="preserve">75 000 x 12/12 = </t>
  </si>
  <si>
    <t xml:space="preserve">24 000 x 9/12 = </t>
  </si>
  <si>
    <t>(93 000 x 20%)</t>
  </si>
  <si>
    <t>Ch 12- P7A, P12 A</t>
  </si>
  <si>
    <t>Ch 15: P6A</t>
  </si>
  <si>
    <t>Ch 16: E2, E18, P2A</t>
  </si>
  <si>
    <t>Homework</t>
  </si>
  <si>
    <t>P12-7A</t>
  </si>
  <si>
    <t>Asset</t>
  </si>
  <si>
    <t>Fair Value</t>
  </si>
  <si>
    <t>Percentage</t>
  </si>
  <si>
    <t>Total Price</t>
  </si>
  <si>
    <t>Cost</t>
  </si>
  <si>
    <t>Building</t>
  </si>
  <si>
    <t>Land</t>
  </si>
  <si>
    <t>Land Imrpovements</t>
  </si>
  <si>
    <t>Vehicles</t>
  </si>
  <si>
    <t>Journal Entry</t>
  </si>
  <si>
    <t>Land Improvements</t>
  </si>
  <si>
    <t>Month</t>
  </si>
  <si>
    <t>Depreciation Expense</t>
  </si>
  <si>
    <t>Net Book Value</t>
  </si>
  <si>
    <t>March</t>
  </si>
  <si>
    <t>April</t>
  </si>
  <si>
    <t>May</t>
  </si>
  <si>
    <t>June</t>
  </si>
  <si>
    <t>July</t>
  </si>
  <si>
    <t>August</t>
  </si>
  <si>
    <t>September</t>
  </si>
  <si>
    <t>October</t>
  </si>
  <si>
    <t>December</t>
  </si>
  <si>
    <t>Straight Line Depreciation</t>
  </si>
  <si>
    <t>Accumulated Depreciation</t>
  </si>
  <si>
    <t>Depreciation per year</t>
  </si>
  <si>
    <t>Depreciation per month</t>
  </si>
  <si>
    <t>November</t>
  </si>
  <si>
    <t>Part 3</t>
  </si>
  <si>
    <t>Double Declining Depreciation</t>
  </si>
  <si>
    <t>P12-12A</t>
  </si>
  <si>
    <t>P15-6A</t>
  </si>
  <si>
    <t>Dividends Payable</t>
  </si>
  <si>
    <t>22000 Shares issued and outstanding</t>
  </si>
  <si>
    <t>Equity Section of Balance Sheet</t>
  </si>
  <si>
    <t>Statement of Changes in Equity</t>
  </si>
  <si>
    <t>Beginning Retained Earnings</t>
  </si>
  <si>
    <t>Add:</t>
  </si>
  <si>
    <t>Additon to retained Earnings</t>
  </si>
  <si>
    <t>Less:</t>
  </si>
  <si>
    <t>Retained Earnings 2012</t>
  </si>
  <si>
    <t>E16-8</t>
  </si>
  <si>
    <t>Net Income</t>
  </si>
  <si>
    <t>Part a</t>
  </si>
  <si>
    <t>Part b</t>
  </si>
  <si>
    <t>Common Shares Dividend Distributable</t>
  </si>
  <si>
    <t>Balance, Jan 1</t>
  </si>
  <si>
    <t>Balance, Dec 31</t>
  </si>
  <si>
    <t>Total Shareholder's Equity (END)</t>
  </si>
  <si>
    <t>?</t>
  </si>
  <si>
    <t>P16-2A</t>
  </si>
  <si>
    <t>For Shareholder's Equity:</t>
  </si>
  <si>
    <t>Net Income Calculation should be : $413 400 - 24000</t>
  </si>
  <si>
    <t xml:space="preserve">EPS Should be calculated as </t>
  </si>
  <si>
    <t xml:space="preserve"> NI- Preferred Dividends</t>
  </si>
  <si>
    <t>Weighted Average # of Shares</t>
  </si>
  <si>
    <t>=</t>
  </si>
  <si>
    <t>413 400- 28 000</t>
  </si>
  <si>
    <t>If Churchill had not delcared a cash dividend to preferred shares in 2011, the numerator would include the entire 413 400 sinc ethe preferred shares are noncumulative. In the enominator, if the 24 000 share dividend had been declared and distrbuted Jan 2 2011, the weighted average would be unchanged at 146 000</t>
  </si>
  <si>
    <t>413 400</t>
  </si>
  <si>
    <t>146 000</t>
  </si>
  <si>
    <t>EPS =</t>
  </si>
  <si>
    <t>Balance Jan 1</t>
  </si>
  <si>
    <t>Issuance of Shares</t>
  </si>
  <si>
    <t>*** Depreciation only begins to occur when the equipment has been used</t>
  </si>
  <si>
    <t>RV</t>
  </si>
  <si>
    <t>NBV</t>
  </si>
  <si>
    <t>/5 Years</t>
  </si>
  <si>
    <t>Dep Exp</t>
  </si>
  <si>
    <t>$672 per Year</t>
  </si>
  <si>
    <t>x 2 years</t>
  </si>
  <si>
    <t>Acc Dep</t>
  </si>
  <si>
    <t>Blade (New)</t>
  </si>
  <si>
    <t>Loss on Disposal</t>
  </si>
  <si>
    <t>Blade (Old)</t>
  </si>
  <si>
    <t>** Rough Work</t>
  </si>
  <si>
    <t>NBV (2011)</t>
  </si>
  <si>
    <t>Loss</t>
  </si>
  <si>
    <t>Proceeds</t>
  </si>
  <si>
    <t>Metal Housing:</t>
  </si>
  <si>
    <t>(22 000- 4000) = 18 000 / 15 years = $1250 per year x 2 years gone by = $2400</t>
  </si>
  <si>
    <t>Net book Value</t>
  </si>
  <si>
    <t>Less: RV</t>
  </si>
  <si>
    <t>Depreciable Amt</t>
  </si>
  <si>
    <t># Of Yrs Remaining</t>
  </si>
  <si>
    <t>/ 18 years</t>
  </si>
  <si>
    <t>Dep Expense</t>
  </si>
  <si>
    <t>Motor:</t>
  </si>
  <si>
    <t>Rate = 2* (1/5) = 20%</t>
  </si>
  <si>
    <t>Year 1</t>
  </si>
  <si>
    <t>Year 2</t>
  </si>
  <si>
    <t>Year 3</t>
  </si>
  <si>
    <t>Beginning</t>
  </si>
  <si>
    <t>Depreciation</t>
  </si>
  <si>
    <t>Remaining</t>
  </si>
  <si>
    <t>Blade</t>
  </si>
  <si>
    <r>
      <t xml:space="preserve">(5200- 500)/5 = $4700 / 5 years = </t>
    </r>
    <r>
      <rPr>
        <sz val="11"/>
        <color rgb="FFFF0000"/>
        <rFont val="Calibri"/>
        <family val="2"/>
        <scheme val="minor"/>
      </rPr>
      <t>$940</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</si>
</sst>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8" formatCode="&quot;$&quot;#,##0.00;[Red]\-&quot;$&quot;#,##0.00"/>
    <numFmt numFmtId="44" formatCode="_-&quot;$&quot;* #,##0.00_-;\-&quot;$&quot;* #,##0.00_-;_-&quot;$&quot;* &quot;-&quot;??_-;_-@_-"/>
    <numFmt numFmtId="43" formatCode="_-* #,##0.00_-;\-* #,##0.00_-;_-* &quot;-&quot;??_-;_-@_-"/>
    <numFmt numFmtId="164" formatCode="_-* #,##0_-;\-* #,##0_-;_-* &quot;-&quot;??_-;_-@_-"/>
    <numFmt numFmtId="165" formatCode="_-* #,##0_-;\-* #,##0_-;_-* &quot;-&quot;?_-;_-@_-"/>
  </numFmts>
  <fonts count="11" x14ac:knownFonts="1">
    <font>
      <sz val="11"/>
      <color theme="1"/>
      <name val="Calibri"/>
      <family val="2"/>
      <scheme val="minor"/>
    </font>
    <font>
      <sz val="11"/>
      <color theme="1"/>
      <name val="Calibri"/>
      <family val="2"/>
      <scheme val="minor"/>
    </font>
    <font>
      <b/>
      <sz val="11"/>
      <color theme="1"/>
      <name val="Calibri"/>
      <family val="2"/>
      <scheme val="minor"/>
    </font>
    <font>
      <sz val="9"/>
      <color indexed="81"/>
      <name val="Tahoma"/>
      <family val="2"/>
    </font>
    <font>
      <b/>
      <sz val="9"/>
      <color indexed="81"/>
      <name val="Tahoma"/>
      <family val="2"/>
    </font>
    <font>
      <u/>
      <sz val="11"/>
      <color theme="1"/>
      <name val="Calibri"/>
      <family val="2"/>
      <scheme val="minor"/>
    </font>
    <font>
      <u val="singleAccounting"/>
      <sz val="11"/>
      <color theme="1"/>
      <name val="Calibri"/>
      <family val="2"/>
      <scheme val="minor"/>
    </font>
    <font>
      <u val="doubleAccounting"/>
      <sz val="11"/>
      <color theme="1"/>
      <name val="Calibri"/>
      <family val="2"/>
      <scheme val="minor"/>
    </font>
    <font>
      <u val="double"/>
      <sz val="11"/>
      <color theme="1"/>
      <name val="Calibri"/>
      <family val="2"/>
      <scheme val="minor"/>
    </font>
    <font>
      <sz val="11"/>
      <color rgb="FFFF0000"/>
      <name val="Calibri"/>
      <family val="2"/>
      <scheme val="minor"/>
    </font>
    <font>
      <b/>
      <u/>
      <sz val="11"/>
      <color theme="1"/>
      <name val="Calibri"/>
      <family val="2"/>
      <scheme val="minor"/>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style="double">
        <color indexed="64"/>
      </bottom>
      <diagonal/>
    </border>
    <border>
      <left/>
      <right/>
      <top/>
      <bottom style="double">
        <color indexed="64"/>
      </bottom>
      <diagonal/>
    </border>
  </borders>
  <cellStyleXfs count="4">
    <xf numFmtId="0" fontId="0"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cellStyleXfs>
  <cellXfs count="57">
    <xf numFmtId="0" fontId="0" fillId="0" borderId="0" xfId="0"/>
    <xf numFmtId="0" fontId="2" fillId="0" borderId="0" xfId="0" applyFont="1"/>
    <xf numFmtId="0" fontId="2" fillId="0" borderId="0" xfId="0" applyFont="1" applyAlignment="1">
      <alignment horizontal="center"/>
    </xf>
    <xf numFmtId="17" fontId="0" fillId="0" borderId="0" xfId="0" applyNumberFormat="1"/>
    <xf numFmtId="0" fontId="5" fillId="0" borderId="0" xfId="0" applyFont="1"/>
    <xf numFmtId="44" fontId="0" fillId="0" borderId="0" xfId="1" applyFont="1"/>
    <xf numFmtId="0" fontId="0" fillId="0" borderId="0" xfId="1" applyNumberFormat="1" applyFont="1"/>
    <xf numFmtId="0" fontId="2" fillId="0" borderId="0" xfId="0" applyFont="1" applyAlignment="1">
      <alignment horizontal="right"/>
    </xf>
    <xf numFmtId="0" fontId="2" fillId="0" borderId="0" xfId="0" applyFont="1" applyAlignment="1">
      <alignment horizontal="left"/>
    </xf>
    <xf numFmtId="44" fontId="6" fillId="0" borderId="1" xfId="1" applyFont="1" applyBorder="1"/>
    <xf numFmtId="44" fontId="6" fillId="0" borderId="0" xfId="1" applyFont="1" applyBorder="1"/>
    <xf numFmtId="44" fontId="7" fillId="0" borderId="0" xfId="1" applyFont="1"/>
    <xf numFmtId="44" fontId="5" fillId="0" borderId="0" xfId="1" applyFont="1"/>
    <xf numFmtId="44" fontId="8" fillId="0" borderId="0" xfId="1" applyFont="1"/>
    <xf numFmtId="44" fontId="6" fillId="0" borderId="0" xfId="1" applyFont="1"/>
    <xf numFmtId="0" fontId="0" fillId="0" borderId="0" xfId="0" applyAlignment="1">
      <alignment horizontal="center"/>
    </xf>
    <xf numFmtId="0" fontId="0" fillId="0" borderId="0" xfId="0" applyAlignment="1">
      <alignment horizontal="right"/>
    </xf>
    <xf numFmtId="164" fontId="0" fillId="0" borderId="0" xfId="2" applyNumberFormat="1" applyFont="1"/>
    <xf numFmtId="164" fontId="0" fillId="0" borderId="0" xfId="0" applyNumberFormat="1"/>
    <xf numFmtId="164" fontId="6" fillId="0" borderId="0" xfId="2" applyNumberFormat="1" applyFont="1"/>
    <xf numFmtId="165" fontId="6" fillId="0" borderId="0" xfId="0" applyNumberFormat="1" applyFont="1" applyAlignment="1">
      <alignment horizontal="right"/>
    </xf>
    <xf numFmtId="165" fontId="0" fillId="0" borderId="0" xfId="0" applyNumberFormat="1"/>
    <xf numFmtId="0" fontId="0" fillId="0" borderId="0" xfId="0" applyFont="1"/>
    <xf numFmtId="9" fontId="0" fillId="0" borderId="0" xfId="3" applyFont="1"/>
    <xf numFmtId="0" fontId="2" fillId="0" borderId="0" xfId="0" applyFont="1" applyAlignment="1"/>
    <xf numFmtId="44" fontId="0" fillId="0" borderId="0" xfId="0" applyNumberFormat="1"/>
    <xf numFmtId="0" fontId="10" fillId="0" borderId="0" xfId="0" applyFont="1"/>
    <xf numFmtId="44" fontId="0" fillId="0" borderId="0" xfId="1" applyFont="1" applyAlignment="1">
      <alignment horizontal="left"/>
    </xf>
    <xf numFmtId="44" fontId="6" fillId="0" borderId="0" xfId="0" applyNumberFormat="1" applyFont="1" applyBorder="1"/>
    <xf numFmtId="44" fontId="7" fillId="0" borderId="0" xfId="0" applyNumberFormat="1" applyFont="1"/>
    <xf numFmtId="44" fontId="6" fillId="0" borderId="0" xfId="0" applyNumberFormat="1" applyFont="1"/>
    <xf numFmtId="0" fontId="0" fillId="0" borderId="0" xfId="0" quotePrefix="1"/>
    <xf numFmtId="0" fontId="0" fillId="0" borderId="1" xfId="0" applyFont="1" applyBorder="1"/>
    <xf numFmtId="0" fontId="0" fillId="0" borderId="1" xfId="0" applyBorder="1"/>
    <xf numFmtId="0" fontId="0" fillId="0" borderId="2" xfId="0" applyBorder="1"/>
    <xf numFmtId="0" fontId="0" fillId="0" borderId="1" xfId="0" applyBorder="1" applyAlignment="1">
      <alignment horizontal="center"/>
    </xf>
    <xf numFmtId="8" fontId="0" fillId="0" borderId="0" xfId="0" applyNumberFormat="1" applyAlignment="1">
      <alignment horizontal="left"/>
    </xf>
    <xf numFmtId="0" fontId="0" fillId="0" borderId="1" xfId="0" applyFont="1" applyBorder="1" applyAlignment="1">
      <alignment horizontal="center"/>
    </xf>
    <xf numFmtId="44" fontId="9" fillId="0" borderId="0" xfId="0" applyNumberFormat="1" applyFont="1" applyAlignment="1">
      <alignment horizontal="left"/>
    </xf>
    <xf numFmtId="44" fontId="0" fillId="0" borderId="1" xfId="1" applyFont="1" applyBorder="1"/>
    <xf numFmtId="9" fontId="6" fillId="0" borderId="0" xfId="3" applyFont="1"/>
    <xf numFmtId="0" fontId="0" fillId="0" borderId="3" xfId="0" applyBorder="1"/>
    <xf numFmtId="0" fontId="0" fillId="0" borderId="0" xfId="0" applyFont="1" applyAlignment="1">
      <alignment horizontal="left"/>
    </xf>
    <xf numFmtId="44" fontId="9" fillId="0" borderId="0" xfId="1" applyFont="1"/>
    <xf numFmtId="44" fontId="9" fillId="0" borderId="3" xfId="1" applyFont="1" applyBorder="1"/>
    <xf numFmtId="0" fontId="0" fillId="0" borderId="0" xfId="0" applyBorder="1"/>
    <xf numFmtId="0" fontId="2" fillId="0" borderId="0" xfId="0" applyFont="1" applyAlignment="1">
      <alignment horizontal="left"/>
    </xf>
    <xf numFmtId="0" fontId="0" fillId="0" borderId="0" xfId="0" applyAlignment="1">
      <alignment horizontal="left"/>
    </xf>
    <xf numFmtId="0" fontId="5" fillId="0" borderId="0" xfId="0" applyFont="1" applyAlignment="1">
      <alignment horizontal="center"/>
    </xf>
    <xf numFmtId="0" fontId="0" fillId="0" borderId="0" xfId="0" applyAlignment="1">
      <alignment horizontal="center"/>
    </xf>
    <xf numFmtId="44" fontId="0" fillId="0" borderId="0" xfId="1" applyFont="1" applyAlignment="1">
      <alignment horizontal="center"/>
    </xf>
    <xf numFmtId="44" fontId="5" fillId="0" borderId="0" xfId="1" applyFont="1" applyAlignment="1">
      <alignment horizontal="center"/>
    </xf>
    <xf numFmtId="44" fontId="0" fillId="0" borderId="0" xfId="1" applyFont="1" applyAlignment="1">
      <alignment horizontal="left"/>
    </xf>
    <xf numFmtId="44" fontId="9" fillId="0" borderId="3" xfId="0" applyNumberFormat="1" applyFont="1" applyBorder="1" applyAlignment="1">
      <alignment horizontal="left"/>
    </xf>
    <xf numFmtId="0" fontId="0" fillId="0" borderId="1" xfId="0" applyBorder="1" applyAlignment="1">
      <alignment horizontal="center"/>
    </xf>
    <xf numFmtId="44" fontId="0" fillId="0" borderId="0" xfId="0" applyNumberFormat="1" applyAlignment="1">
      <alignment horizontal="left"/>
    </xf>
    <xf numFmtId="0" fontId="2" fillId="0" borderId="0" xfId="0" applyFont="1" applyAlignment="1">
      <alignment horizontal="center"/>
    </xf>
  </cellXfs>
  <cellStyles count="4">
    <cellStyle name="Comma" xfId="2" builtinId="3"/>
    <cellStyle name="Currency" xfId="1" builtinId="4"/>
    <cellStyle name="Normal" xfId="0" builtinId="0"/>
    <cellStyle name="Percent"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72"/>
  <sheetViews>
    <sheetView zoomScaleNormal="100" workbookViewId="0">
      <selection activeCell="I19" sqref="I19"/>
    </sheetView>
  </sheetViews>
  <sheetFormatPr defaultRowHeight="15" x14ac:dyDescent="0.25"/>
  <cols>
    <col min="1" max="1" width="6" style="1" customWidth="1"/>
    <col min="3" max="3" width="15.42578125" customWidth="1"/>
    <col min="4" max="4" width="13" customWidth="1"/>
    <col min="5" max="5" width="14.28515625" bestFit="1" customWidth="1"/>
    <col min="6" max="6" width="12.5703125" customWidth="1"/>
    <col min="7" max="7" width="11.42578125" customWidth="1"/>
    <col min="8" max="9" width="11.5703125" bestFit="1" customWidth="1"/>
    <col min="14" max="14" width="12.42578125" customWidth="1"/>
    <col min="15" max="15" width="11.85546875" customWidth="1"/>
    <col min="17" max="18" width="11.5703125" bestFit="1" customWidth="1"/>
  </cols>
  <sheetData>
    <row r="1" spans="1:6" x14ac:dyDescent="0.25">
      <c r="A1" s="46" t="s">
        <v>0</v>
      </c>
      <c r="B1" s="46"/>
      <c r="C1" s="46"/>
    </row>
    <row r="2" spans="1:6" x14ac:dyDescent="0.25">
      <c r="A2" s="46" t="s">
        <v>1</v>
      </c>
      <c r="B2" s="46"/>
    </row>
    <row r="4" spans="1:6" x14ac:dyDescent="0.25">
      <c r="B4" s="46" t="s">
        <v>2</v>
      </c>
      <c r="C4" s="46"/>
    </row>
    <row r="5" spans="1:6" x14ac:dyDescent="0.25">
      <c r="B5" s="47" t="s">
        <v>3</v>
      </c>
      <c r="C5" s="47"/>
      <c r="D5" s="47" t="s">
        <v>4</v>
      </c>
      <c r="E5" s="47"/>
      <c r="F5" s="47"/>
    </row>
    <row r="6" spans="1:6" x14ac:dyDescent="0.25">
      <c r="D6" s="47" t="s">
        <v>5</v>
      </c>
      <c r="E6" s="47"/>
      <c r="F6" s="47"/>
    </row>
    <row r="7" spans="1:6" x14ac:dyDescent="0.25">
      <c r="D7" s="47" t="s">
        <v>6</v>
      </c>
      <c r="E7" s="47"/>
      <c r="F7" s="47"/>
    </row>
    <row r="9" spans="1:6" x14ac:dyDescent="0.25">
      <c r="B9" s="1" t="s">
        <v>7</v>
      </c>
    </row>
    <row r="10" spans="1:6" x14ac:dyDescent="0.25">
      <c r="B10" t="s">
        <v>8</v>
      </c>
    </row>
    <row r="11" spans="1:6" x14ac:dyDescent="0.25">
      <c r="B11" t="s">
        <v>9</v>
      </c>
    </row>
    <row r="12" spans="1:6" x14ac:dyDescent="0.25">
      <c r="B12" t="s">
        <v>10</v>
      </c>
    </row>
    <row r="14" spans="1:6" x14ac:dyDescent="0.25">
      <c r="B14" s="1" t="s">
        <v>11</v>
      </c>
    </row>
    <row r="15" spans="1:6" x14ac:dyDescent="0.25">
      <c r="B15" t="s">
        <v>12</v>
      </c>
    </row>
    <row r="16" spans="1:6" x14ac:dyDescent="0.25">
      <c r="B16" t="s">
        <v>13</v>
      </c>
    </row>
    <row r="17" spans="1:15" x14ac:dyDescent="0.25">
      <c r="B17" t="s">
        <v>14</v>
      </c>
    </row>
    <row r="18" spans="1:15" x14ac:dyDescent="0.25">
      <c r="B18" s="4" t="s">
        <v>15</v>
      </c>
    </row>
    <row r="20" spans="1:15" x14ac:dyDescent="0.25">
      <c r="A20" s="1" t="s">
        <v>16</v>
      </c>
      <c r="B20" s="46" t="s">
        <v>17</v>
      </c>
      <c r="C20" s="46"/>
      <c r="D20" s="46"/>
      <c r="E20" s="46"/>
      <c r="I20" s="8" t="s">
        <v>18</v>
      </c>
      <c r="J20" s="8"/>
      <c r="K20" s="8"/>
      <c r="L20" s="8"/>
      <c r="M20" s="8"/>
    </row>
    <row r="22" spans="1:15" x14ac:dyDescent="0.25">
      <c r="B22" s="3">
        <v>42095</v>
      </c>
      <c r="C22" t="s">
        <v>19</v>
      </c>
      <c r="F22" s="5">
        <v>48000</v>
      </c>
      <c r="G22" s="5"/>
      <c r="I22" s="3">
        <v>42095</v>
      </c>
      <c r="J22" t="s">
        <v>21</v>
      </c>
      <c r="N22" s="5">
        <v>48000</v>
      </c>
      <c r="O22" s="5"/>
    </row>
    <row r="23" spans="1:15" x14ac:dyDescent="0.25">
      <c r="D23" t="s">
        <v>20</v>
      </c>
      <c r="F23" s="5"/>
      <c r="G23" s="5">
        <v>48000</v>
      </c>
      <c r="K23" t="s">
        <v>20</v>
      </c>
      <c r="N23" s="5"/>
      <c r="O23" s="5">
        <v>48000</v>
      </c>
    </row>
    <row r="24" spans="1:15" x14ac:dyDescent="0.25">
      <c r="F24" s="5"/>
      <c r="G24" s="5"/>
      <c r="N24" s="5"/>
      <c r="O24" s="5"/>
    </row>
    <row r="25" spans="1:15" x14ac:dyDescent="0.25">
      <c r="B25" s="3">
        <v>11110</v>
      </c>
      <c r="C25" t="s">
        <v>20</v>
      </c>
      <c r="F25" s="5">
        <v>48000</v>
      </c>
      <c r="G25" s="5"/>
      <c r="I25" s="3">
        <v>11110</v>
      </c>
      <c r="J25" t="s">
        <v>20</v>
      </c>
      <c r="N25" s="5">
        <v>48000</v>
      </c>
      <c r="O25" s="5"/>
    </row>
    <row r="26" spans="1:15" x14ac:dyDescent="0.25">
      <c r="D26" t="s">
        <v>22</v>
      </c>
      <c r="F26" s="5"/>
      <c r="G26" s="5">
        <v>48000</v>
      </c>
      <c r="K26" t="s">
        <v>22</v>
      </c>
      <c r="N26" s="5"/>
      <c r="O26" s="5">
        <v>48000</v>
      </c>
    </row>
    <row r="27" spans="1:15" x14ac:dyDescent="0.25">
      <c r="F27" s="5"/>
      <c r="G27" s="5"/>
    </row>
    <row r="28" spans="1:15" x14ac:dyDescent="0.25">
      <c r="B28" s="3">
        <v>11658</v>
      </c>
      <c r="C28" t="s">
        <v>21</v>
      </c>
      <c r="F28" s="5">
        <v>48000</v>
      </c>
      <c r="G28" s="5"/>
      <c r="I28" s="3">
        <v>11658</v>
      </c>
      <c r="J28" t="s">
        <v>23</v>
      </c>
    </row>
    <row r="29" spans="1:15" x14ac:dyDescent="0.25">
      <c r="D29" t="s">
        <v>19</v>
      </c>
      <c r="F29" s="5"/>
      <c r="G29" s="5">
        <v>48000</v>
      </c>
    </row>
    <row r="30" spans="1:15" x14ac:dyDescent="0.25">
      <c r="F30" s="5"/>
      <c r="G30" s="5"/>
    </row>
    <row r="31" spans="1:15" x14ac:dyDescent="0.25">
      <c r="A31" s="1" t="s">
        <v>24</v>
      </c>
      <c r="B31" s="3">
        <v>36951</v>
      </c>
      <c r="C31" t="s">
        <v>21</v>
      </c>
      <c r="F31" s="5">
        <f>0.5*50000</f>
        <v>25000</v>
      </c>
      <c r="G31" s="5"/>
    </row>
    <row r="32" spans="1:15" x14ac:dyDescent="0.25">
      <c r="D32" t="s">
        <v>20</v>
      </c>
      <c r="F32" s="5"/>
      <c r="G32" s="5">
        <f>F31</f>
        <v>25000</v>
      </c>
    </row>
    <row r="33" spans="1:7" x14ac:dyDescent="0.25">
      <c r="B33" s="3">
        <v>11383</v>
      </c>
      <c r="C33" t="s">
        <v>20</v>
      </c>
      <c r="F33" s="5">
        <f>F31</f>
        <v>25000</v>
      </c>
      <c r="G33" s="5"/>
    </row>
    <row r="34" spans="1:7" x14ac:dyDescent="0.25">
      <c r="D34" t="s">
        <v>22</v>
      </c>
      <c r="F34" s="5"/>
      <c r="G34" s="5">
        <f>F31</f>
        <v>25000</v>
      </c>
    </row>
    <row r="36" spans="1:7" x14ac:dyDescent="0.25">
      <c r="A36" s="1" t="s">
        <v>25</v>
      </c>
      <c r="B36" s="2" t="s">
        <v>26</v>
      </c>
      <c r="C36" s="2" t="s">
        <v>27</v>
      </c>
      <c r="D36" s="2" t="s">
        <v>28</v>
      </c>
      <c r="E36" s="2" t="s">
        <v>29</v>
      </c>
    </row>
    <row r="37" spans="1:7" x14ac:dyDescent="0.25">
      <c r="B37">
        <v>2011</v>
      </c>
      <c r="C37" s="6">
        <v>0</v>
      </c>
      <c r="D37" s="6">
        <v>0</v>
      </c>
      <c r="E37" s="6">
        <v>0</v>
      </c>
    </row>
    <row r="38" spans="1:7" x14ac:dyDescent="0.25">
      <c r="B38">
        <v>2012</v>
      </c>
      <c r="C38" s="5">
        <v>400000</v>
      </c>
      <c r="D38" s="6">
        <v>0</v>
      </c>
      <c r="E38" s="5">
        <v>400000</v>
      </c>
    </row>
    <row r="39" spans="1:7" x14ac:dyDescent="0.25">
      <c r="B39">
        <v>2013</v>
      </c>
      <c r="C39" s="5">
        <v>728000</v>
      </c>
      <c r="D39" s="5">
        <v>112000</v>
      </c>
      <c r="E39" s="5">
        <v>840000</v>
      </c>
    </row>
    <row r="40" spans="1:7" ht="17.25" x14ac:dyDescent="0.4">
      <c r="B40">
        <v>2014</v>
      </c>
      <c r="C40" s="10">
        <v>376000</v>
      </c>
      <c r="D40" s="10">
        <f>400000-376000</f>
        <v>24000</v>
      </c>
      <c r="E40" s="10">
        <v>400000</v>
      </c>
    </row>
    <row r="41" spans="1:7" ht="17.25" x14ac:dyDescent="0.4">
      <c r="B41" s="7" t="s">
        <v>29</v>
      </c>
      <c r="C41" s="11">
        <f>SUM(C37:C40)</f>
        <v>1504000</v>
      </c>
      <c r="D41" s="11">
        <f t="shared" ref="D41:E41" si="0">SUM(D37:D40)</f>
        <v>136000</v>
      </c>
      <c r="E41" s="11">
        <f t="shared" si="0"/>
        <v>1640000</v>
      </c>
    </row>
    <row r="42" spans="1:7" x14ac:dyDescent="0.25">
      <c r="F42" s="4"/>
    </row>
    <row r="43" spans="1:7" x14ac:dyDescent="0.25">
      <c r="A43" s="1" t="s">
        <v>30</v>
      </c>
      <c r="B43" s="2" t="s">
        <v>26</v>
      </c>
      <c r="C43" s="2" t="s">
        <v>27</v>
      </c>
      <c r="D43" s="2" t="s">
        <v>28</v>
      </c>
      <c r="E43" s="2" t="s">
        <v>29</v>
      </c>
    </row>
    <row r="44" spans="1:7" x14ac:dyDescent="0.25">
      <c r="B44">
        <v>2011</v>
      </c>
      <c r="C44" s="6">
        <v>0</v>
      </c>
      <c r="D44" s="6">
        <v>0</v>
      </c>
      <c r="E44" s="6">
        <v>0</v>
      </c>
    </row>
    <row r="45" spans="1:7" x14ac:dyDescent="0.25">
      <c r="B45">
        <v>2012</v>
      </c>
      <c r="C45" s="5">
        <v>376000</v>
      </c>
      <c r="D45" s="5">
        <v>24000</v>
      </c>
      <c r="E45" s="5">
        <v>400000</v>
      </c>
    </row>
    <row r="46" spans="1:7" x14ac:dyDescent="0.25">
      <c r="B46">
        <v>2013</v>
      </c>
      <c r="C46" s="5">
        <v>376000</v>
      </c>
      <c r="D46" s="5">
        <f>840000-376000</f>
        <v>464000</v>
      </c>
      <c r="E46" s="5">
        <v>840000</v>
      </c>
    </row>
    <row r="47" spans="1:7" ht="17.25" x14ac:dyDescent="0.4">
      <c r="B47">
        <v>2014</v>
      </c>
      <c r="C47" s="9">
        <v>376000</v>
      </c>
      <c r="D47" s="9">
        <v>24000</v>
      </c>
      <c r="E47" s="9">
        <v>400000</v>
      </c>
    </row>
    <row r="48" spans="1:7" ht="17.25" x14ac:dyDescent="0.4">
      <c r="B48" s="7" t="s">
        <v>29</v>
      </c>
      <c r="C48" s="11">
        <f>SUM(C44:C47)</f>
        <v>1128000</v>
      </c>
      <c r="D48" s="11">
        <f t="shared" ref="D48:E48" si="1">SUM(D44:D47)</f>
        <v>512000</v>
      </c>
      <c r="E48" s="11">
        <f t="shared" si="1"/>
        <v>1640000</v>
      </c>
    </row>
    <row r="50" spans="1:5" x14ac:dyDescent="0.25">
      <c r="A50" s="1" t="s">
        <v>31</v>
      </c>
      <c r="B50" s="2" t="s">
        <v>26</v>
      </c>
      <c r="C50" s="2" t="s">
        <v>27</v>
      </c>
      <c r="D50" s="2" t="s">
        <v>28</v>
      </c>
      <c r="E50" s="2" t="s">
        <v>29</v>
      </c>
    </row>
    <row r="51" spans="1:5" x14ac:dyDescent="0.25">
      <c r="B51">
        <v>2010</v>
      </c>
      <c r="C51">
        <v>0</v>
      </c>
      <c r="D51">
        <v>0</v>
      </c>
      <c r="E51">
        <v>0</v>
      </c>
    </row>
    <row r="52" spans="1:5" x14ac:dyDescent="0.25">
      <c r="B52">
        <v>2011</v>
      </c>
      <c r="C52" s="5">
        <f>67500*2</f>
        <v>135000</v>
      </c>
      <c r="D52" s="5">
        <f>150000-135000</f>
        <v>15000</v>
      </c>
      <c r="E52" s="5">
        <v>150000</v>
      </c>
    </row>
    <row r="54" spans="1:5" x14ac:dyDescent="0.25">
      <c r="B54" t="s">
        <v>32</v>
      </c>
      <c r="C54" s="5">
        <v>135000</v>
      </c>
    </row>
    <row r="55" spans="1:5" x14ac:dyDescent="0.25">
      <c r="B55" t="s">
        <v>34</v>
      </c>
      <c r="C55" s="5">
        <v>15000</v>
      </c>
    </row>
    <row r="57" spans="1:5" x14ac:dyDescent="0.25">
      <c r="A57" s="1" t="s">
        <v>35</v>
      </c>
      <c r="B57" t="s">
        <v>33</v>
      </c>
    </row>
    <row r="58" spans="1:5" x14ac:dyDescent="0.25">
      <c r="B58" s="2" t="s">
        <v>26</v>
      </c>
      <c r="C58" s="2" t="s">
        <v>27</v>
      </c>
      <c r="D58" s="2" t="s">
        <v>28</v>
      </c>
      <c r="E58" s="2" t="s">
        <v>29</v>
      </c>
    </row>
    <row r="59" spans="1:5" x14ac:dyDescent="0.25">
      <c r="B59">
        <v>2009</v>
      </c>
      <c r="C59" s="5">
        <f>200000</f>
        <v>200000</v>
      </c>
      <c r="D59" s="5">
        <v>0</v>
      </c>
      <c r="E59" s="5">
        <v>200000</v>
      </c>
    </row>
    <row r="60" spans="1:5" x14ac:dyDescent="0.25">
      <c r="B60">
        <v>2010</v>
      </c>
      <c r="C60" s="5">
        <v>252000</v>
      </c>
      <c r="D60" s="5">
        <f>E60-C60</f>
        <v>248000</v>
      </c>
      <c r="E60" s="5">
        <v>500000</v>
      </c>
    </row>
    <row r="61" spans="1:5" x14ac:dyDescent="0.25">
      <c r="B61">
        <v>2011</v>
      </c>
      <c r="C61" s="12">
        <v>252000</v>
      </c>
      <c r="D61" s="12">
        <f>E61-C61</f>
        <v>448000</v>
      </c>
      <c r="E61" s="12">
        <v>700000</v>
      </c>
    </row>
    <row r="62" spans="1:5" x14ac:dyDescent="0.25">
      <c r="B62" s="7" t="s">
        <v>29</v>
      </c>
      <c r="C62" s="13">
        <f t="shared" ref="C62:D62" si="2">SUM(C59:C61)</f>
        <v>704000</v>
      </c>
      <c r="D62" s="13">
        <f t="shared" si="2"/>
        <v>696000</v>
      </c>
      <c r="E62" s="13">
        <f>SUM(E59:E61)</f>
        <v>1400000</v>
      </c>
    </row>
    <row r="64" spans="1:5" x14ac:dyDescent="0.25">
      <c r="B64" t="s">
        <v>38</v>
      </c>
    </row>
    <row r="65" spans="2:5" x14ac:dyDescent="0.25">
      <c r="B65" s="2" t="s">
        <v>26</v>
      </c>
      <c r="C65" s="2" t="s">
        <v>27</v>
      </c>
      <c r="D65" s="2" t="s">
        <v>28</v>
      </c>
      <c r="E65" s="2" t="s">
        <v>29</v>
      </c>
    </row>
    <row r="66" spans="2:5" x14ac:dyDescent="0.25">
      <c r="B66">
        <v>2009</v>
      </c>
      <c r="C66" s="5">
        <v>200000</v>
      </c>
      <c r="D66" s="5">
        <v>0</v>
      </c>
      <c r="E66" s="5">
        <v>200000</v>
      </c>
    </row>
    <row r="67" spans="2:5" x14ac:dyDescent="0.25">
      <c r="B67">
        <v>2010</v>
      </c>
      <c r="C67" s="5">
        <f>252000+52000</f>
        <v>304000</v>
      </c>
      <c r="D67" s="5">
        <f>E67-C67</f>
        <v>196000</v>
      </c>
      <c r="E67" s="5">
        <v>500000</v>
      </c>
    </row>
    <row r="68" spans="2:5" x14ac:dyDescent="0.25">
      <c r="B68">
        <v>2011</v>
      </c>
      <c r="C68" s="12">
        <f>252000</f>
        <v>252000</v>
      </c>
      <c r="D68" s="12">
        <f>E68-C68</f>
        <v>448000</v>
      </c>
      <c r="E68" s="12">
        <v>700000</v>
      </c>
    </row>
    <row r="69" spans="2:5" x14ac:dyDescent="0.25">
      <c r="B69" s="7" t="s">
        <v>29</v>
      </c>
      <c r="C69" s="13">
        <f t="shared" ref="C69:D69" si="3">SUM(C66:C68)</f>
        <v>756000</v>
      </c>
      <c r="D69" s="13">
        <f t="shared" si="3"/>
        <v>644000</v>
      </c>
      <c r="E69" s="13">
        <f>SUM(E66:E68)</f>
        <v>1400000</v>
      </c>
    </row>
    <row r="71" spans="2:5" x14ac:dyDescent="0.25">
      <c r="B71" s="1" t="s">
        <v>36</v>
      </c>
    </row>
    <row r="72" spans="2:5" x14ac:dyDescent="0.25">
      <c r="B72" s="1" t="s">
        <v>37</v>
      </c>
    </row>
  </sheetData>
  <mergeCells count="8">
    <mergeCell ref="B20:E20"/>
    <mergeCell ref="A1:C1"/>
    <mergeCell ref="A2:B2"/>
    <mergeCell ref="D7:F7"/>
    <mergeCell ref="D6:F6"/>
    <mergeCell ref="D5:F5"/>
    <mergeCell ref="B5:C5"/>
    <mergeCell ref="B4:C4"/>
  </mergeCells>
  <pageMargins left="0.7" right="0.7" top="0.75" bottom="0.75" header="0.3" footer="0.3"/>
  <pageSetup scale="73"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80"/>
  <sheetViews>
    <sheetView topLeftCell="A45" zoomScaleNormal="100" workbookViewId="0">
      <selection activeCell="C64" sqref="C64:D64"/>
    </sheetView>
  </sheetViews>
  <sheetFormatPr defaultRowHeight="15" x14ac:dyDescent="0.25"/>
  <cols>
    <col min="1" max="1" width="7.5703125" style="1" customWidth="1"/>
    <col min="3" max="3" width="9.5703125" customWidth="1"/>
    <col min="5" max="5" width="14.28515625" bestFit="1" customWidth="1"/>
    <col min="6" max="7" width="12.5703125" bestFit="1" customWidth="1"/>
  </cols>
  <sheetData>
    <row r="1" spans="1:7" x14ac:dyDescent="0.25">
      <c r="A1" s="46" t="s">
        <v>39</v>
      </c>
      <c r="B1" s="46"/>
    </row>
    <row r="2" spans="1:7" x14ac:dyDescent="0.25">
      <c r="A2" s="46" t="s">
        <v>40</v>
      </c>
      <c r="B2" s="46"/>
      <c r="C2" s="46"/>
      <c r="D2" s="46"/>
    </row>
    <row r="4" spans="1:7" x14ac:dyDescent="0.25">
      <c r="A4" s="1" t="s">
        <v>41</v>
      </c>
      <c r="B4" t="s">
        <v>42</v>
      </c>
    </row>
    <row r="5" spans="1:7" x14ac:dyDescent="0.25">
      <c r="B5" s="3">
        <v>36892</v>
      </c>
      <c r="C5" t="s">
        <v>22</v>
      </c>
      <c r="F5" s="5">
        <f>10*5000</f>
        <v>50000</v>
      </c>
      <c r="G5" s="5"/>
    </row>
    <row r="6" spans="1:7" x14ac:dyDescent="0.25">
      <c r="D6" t="s">
        <v>11</v>
      </c>
      <c r="F6" s="5"/>
      <c r="G6" s="5">
        <f>F5</f>
        <v>50000</v>
      </c>
    </row>
    <row r="7" spans="1:7" x14ac:dyDescent="0.25">
      <c r="B7" s="3">
        <v>38384</v>
      </c>
      <c r="C7" t="s">
        <v>22</v>
      </c>
      <c r="F7" s="5">
        <f>105000</f>
        <v>105000</v>
      </c>
      <c r="G7" s="5"/>
    </row>
    <row r="8" spans="1:7" x14ac:dyDescent="0.25">
      <c r="D8" t="s">
        <v>43</v>
      </c>
      <c r="F8" s="5"/>
      <c r="G8" s="5">
        <f>F7</f>
        <v>105000</v>
      </c>
    </row>
    <row r="9" spans="1:7" x14ac:dyDescent="0.25">
      <c r="B9" s="3">
        <v>43891</v>
      </c>
      <c r="C9" t="s">
        <v>45</v>
      </c>
      <c r="F9" s="5">
        <v>24000</v>
      </c>
      <c r="G9" s="5"/>
    </row>
    <row r="10" spans="1:7" x14ac:dyDescent="0.25">
      <c r="D10" t="s">
        <v>43</v>
      </c>
      <c r="F10" s="5"/>
      <c r="G10" s="5">
        <v>24000</v>
      </c>
    </row>
    <row r="11" spans="1:7" x14ac:dyDescent="0.25">
      <c r="B11" s="3">
        <v>42125</v>
      </c>
      <c r="C11" t="s">
        <v>22</v>
      </c>
      <c r="F11" s="5">
        <f>G12+G13</f>
        <v>292000</v>
      </c>
      <c r="G11" s="5"/>
    </row>
    <row r="12" spans="1:7" x14ac:dyDescent="0.25">
      <c r="D12" t="s">
        <v>43</v>
      </c>
      <c r="F12" s="5"/>
      <c r="G12" s="5">
        <f>20000*8</f>
        <v>160000</v>
      </c>
    </row>
    <row r="13" spans="1:7" x14ac:dyDescent="0.25">
      <c r="D13" t="s">
        <v>11</v>
      </c>
      <c r="F13" s="5"/>
      <c r="G13" s="5">
        <f>12000*11</f>
        <v>132000</v>
      </c>
    </row>
    <row r="14" spans="1:7" x14ac:dyDescent="0.25">
      <c r="B14" s="3">
        <v>11658</v>
      </c>
      <c r="C14" t="s">
        <v>21</v>
      </c>
      <c r="F14" s="5">
        <v>235000</v>
      </c>
      <c r="G14" s="5"/>
    </row>
    <row r="15" spans="1:7" x14ac:dyDescent="0.25">
      <c r="D15" t="s">
        <v>44</v>
      </c>
      <c r="F15" s="5"/>
      <c r="G15" s="5">
        <v>235000</v>
      </c>
    </row>
    <row r="16" spans="1:7" x14ac:dyDescent="0.25">
      <c r="B16" s="3"/>
      <c r="F16" s="5"/>
      <c r="G16" s="5"/>
    </row>
    <row r="17" spans="2:7" x14ac:dyDescent="0.25">
      <c r="B17" t="s">
        <v>46</v>
      </c>
      <c r="F17" s="5"/>
      <c r="G17" s="5"/>
    </row>
    <row r="18" spans="2:7" x14ac:dyDescent="0.25">
      <c r="B18" t="s">
        <v>47</v>
      </c>
    </row>
    <row r="19" spans="2:7" x14ac:dyDescent="0.25">
      <c r="B19" t="s">
        <v>48</v>
      </c>
    </row>
    <row r="20" spans="2:7" x14ac:dyDescent="0.25">
      <c r="C20" t="s">
        <v>11</v>
      </c>
      <c r="F20" s="5">
        <f>F5+G13</f>
        <v>182000</v>
      </c>
    </row>
    <row r="21" spans="2:7" x14ac:dyDescent="0.25">
      <c r="C21" t="s">
        <v>51</v>
      </c>
      <c r="F21" s="5"/>
    </row>
    <row r="22" spans="2:7" x14ac:dyDescent="0.25">
      <c r="C22" t="s">
        <v>52</v>
      </c>
      <c r="F22" s="5"/>
    </row>
    <row r="23" spans="2:7" ht="17.25" x14ac:dyDescent="0.4">
      <c r="C23" t="s">
        <v>43</v>
      </c>
      <c r="F23" s="14">
        <f>G8+G12+F9</f>
        <v>289000</v>
      </c>
    </row>
    <row r="24" spans="2:7" x14ac:dyDescent="0.25">
      <c r="C24" t="s">
        <v>53</v>
      </c>
      <c r="F24" s="5"/>
    </row>
    <row r="25" spans="2:7" x14ac:dyDescent="0.25">
      <c r="C25" t="s">
        <v>54</v>
      </c>
      <c r="F25" s="5"/>
    </row>
    <row r="26" spans="2:7" x14ac:dyDescent="0.25">
      <c r="C26" t="s">
        <v>49</v>
      </c>
      <c r="F26" s="5">
        <f>SUM(F20:F23)</f>
        <v>471000</v>
      </c>
    </row>
    <row r="27" spans="2:7" ht="17.25" x14ac:dyDescent="0.4">
      <c r="B27" t="s">
        <v>21</v>
      </c>
      <c r="F27" s="14">
        <v>-235000</v>
      </c>
    </row>
    <row r="28" spans="2:7" ht="17.25" x14ac:dyDescent="0.4">
      <c r="B28" t="s">
        <v>50</v>
      </c>
      <c r="F28" s="11">
        <v>236000</v>
      </c>
    </row>
    <row r="30" spans="2:7" x14ac:dyDescent="0.25">
      <c r="B30" t="s">
        <v>55</v>
      </c>
    </row>
    <row r="31" spans="2:7" x14ac:dyDescent="0.25">
      <c r="B31" t="s">
        <v>56</v>
      </c>
    </row>
    <row r="33" spans="1:7" x14ac:dyDescent="0.25">
      <c r="A33" s="1" t="s">
        <v>57</v>
      </c>
    </row>
    <row r="34" spans="1:7" x14ac:dyDescent="0.25">
      <c r="A34" s="1" t="s">
        <v>60</v>
      </c>
      <c r="B34" t="s">
        <v>63</v>
      </c>
    </row>
    <row r="35" spans="1:7" x14ac:dyDescent="0.25">
      <c r="B35" t="s">
        <v>21</v>
      </c>
      <c r="F35" s="5">
        <v>375000</v>
      </c>
      <c r="G35" s="5"/>
    </row>
    <row r="36" spans="1:7" x14ac:dyDescent="0.25">
      <c r="C36" t="s">
        <v>43</v>
      </c>
      <c r="F36" s="5"/>
      <c r="G36" s="5">
        <v>375000</v>
      </c>
    </row>
    <row r="37" spans="1:7" x14ac:dyDescent="0.25">
      <c r="B37" t="s">
        <v>61</v>
      </c>
      <c r="F37" s="5"/>
      <c r="G37" s="5"/>
    </row>
    <row r="38" spans="1:7" x14ac:dyDescent="0.25">
      <c r="B38" t="s">
        <v>62</v>
      </c>
      <c r="F38" s="5"/>
      <c r="G38" s="5"/>
    </row>
    <row r="39" spans="1:7" x14ac:dyDescent="0.25">
      <c r="F39" s="5"/>
      <c r="G39" s="5"/>
    </row>
    <row r="40" spans="1:7" x14ac:dyDescent="0.25">
      <c r="B40" t="s">
        <v>64</v>
      </c>
      <c r="F40" s="5"/>
      <c r="G40" s="5"/>
    </row>
    <row r="41" spans="1:7" x14ac:dyDescent="0.25">
      <c r="B41" t="s">
        <v>21</v>
      </c>
      <c r="F41" s="5">
        <f>F35</f>
        <v>375000</v>
      </c>
      <c r="G41" s="5"/>
    </row>
    <row r="42" spans="1:7" x14ac:dyDescent="0.25">
      <c r="C42" t="s">
        <v>65</v>
      </c>
      <c r="F42" s="5"/>
      <c r="G42" s="5">
        <f>F35</f>
        <v>375000</v>
      </c>
    </row>
    <row r="43" spans="1:7" x14ac:dyDescent="0.25">
      <c r="B43" t="s">
        <v>65</v>
      </c>
      <c r="F43" s="5">
        <f>F35</f>
        <v>375000</v>
      </c>
      <c r="G43" s="5"/>
    </row>
    <row r="44" spans="1:7" x14ac:dyDescent="0.25">
      <c r="C44" t="s">
        <v>43</v>
      </c>
      <c r="F44" s="5"/>
      <c r="G44" s="5">
        <f>F35</f>
        <v>375000</v>
      </c>
    </row>
    <row r="45" spans="1:7" x14ac:dyDescent="0.25">
      <c r="F45" s="5"/>
      <c r="G45" s="5"/>
    </row>
    <row r="46" spans="1:7" x14ac:dyDescent="0.25">
      <c r="B46" t="s">
        <v>47</v>
      </c>
      <c r="F46" s="5"/>
      <c r="G46" s="5"/>
    </row>
    <row r="47" spans="1:7" x14ac:dyDescent="0.25">
      <c r="B47" t="s">
        <v>66</v>
      </c>
      <c r="F47" s="5"/>
      <c r="G47" s="5"/>
    </row>
    <row r="48" spans="1:7" x14ac:dyDescent="0.25">
      <c r="C48" t="s">
        <v>43</v>
      </c>
      <c r="E48" s="5">
        <v>1477500</v>
      </c>
      <c r="F48" s="5"/>
      <c r="G48" s="5"/>
    </row>
    <row r="49" spans="1:7" x14ac:dyDescent="0.25">
      <c r="C49" t="s">
        <v>67</v>
      </c>
      <c r="E49" s="5"/>
      <c r="F49" s="5"/>
      <c r="G49" s="5"/>
    </row>
    <row r="50" spans="1:7" x14ac:dyDescent="0.25">
      <c r="C50" t="s">
        <v>68</v>
      </c>
      <c r="E50" s="5"/>
      <c r="F50" s="5"/>
      <c r="G50" s="5"/>
    </row>
    <row r="51" spans="1:7" x14ac:dyDescent="0.25">
      <c r="B51" t="s">
        <v>21</v>
      </c>
      <c r="E51" s="5">
        <v>258000</v>
      </c>
      <c r="F51" s="5"/>
      <c r="G51" s="5"/>
    </row>
    <row r="52" spans="1:7" x14ac:dyDescent="0.25">
      <c r="B52" t="s">
        <v>50</v>
      </c>
      <c r="E52" s="5">
        <f>SUM(E48:E51)</f>
        <v>1735500</v>
      </c>
      <c r="F52" s="5"/>
      <c r="G52" s="5"/>
    </row>
    <row r="54" spans="1:7" x14ac:dyDescent="0.25">
      <c r="A54" s="1" t="s">
        <v>58</v>
      </c>
      <c r="B54" t="s">
        <v>59</v>
      </c>
    </row>
    <row r="56" spans="1:7" x14ac:dyDescent="0.25">
      <c r="B56" s="1" t="s">
        <v>69</v>
      </c>
    </row>
    <row r="57" spans="1:7" x14ac:dyDescent="0.25">
      <c r="B57" t="s">
        <v>70</v>
      </c>
      <c r="D57" s="48" t="s">
        <v>71</v>
      </c>
      <c r="E57" s="48"/>
      <c r="F57" s="48"/>
      <c r="G57" s="48"/>
    </row>
    <row r="58" spans="1:7" x14ac:dyDescent="0.25">
      <c r="D58" s="49" t="s">
        <v>72</v>
      </c>
      <c r="E58" s="49"/>
      <c r="F58" s="49"/>
      <c r="G58" s="49"/>
    </row>
    <row r="60" spans="1:7" x14ac:dyDescent="0.25">
      <c r="A60" s="1" t="s">
        <v>73</v>
      </c>
      <c r="B60" s="16" t="s">
        <v>76</v>
      </c>
      <c r="C60" s="48" t="s">
        <v>74</v>
      </c>
      <c r="D60" s="48"/>
    </row>
    <row r="61" spans="1:7" x14ac:dyDescent="0.25">
      <c r="B61" s="16"/>
      <c r="C61" s="49" t="s">
        <v>75</v>
      </c>
      <c r="D61" s="49"/>
    </row>
    <row r="62" spans="1:7" x14ac:dyDescent="0.25">
      <c r="B62" s="16" t="s">
        <v>76</v>
      </c>
      <c r="C62" s="51" t="s">
        <v>77</v>
      </c>
      <c r="D62" s="51"/>
    </row>
    <row r="63" spans="1:7" x14ac:dyDescent="0.25">
      <c r="B63" s="16"/>
      <c r="C63" s="49" t="s">
        <v>78</v>
      </c>
      <c r="D63" s="49"/>
    </row>
    <row r="64" spans="1:7" x14ac:dyDescent="0.25">
      <c r="B64" s="16" t="s">
        <v>76</v>
      </c>
      <c r="C64" s="50" t="s">
        <v>79</v>
      </c>
      <c r="D64" s="50"/>
    </row>
    <row r="66" spans="1:5" x14ac:dyDescent="0.25">
      <c r="A66" s="1" t="s">
        <v>80</v>
      </c>
      <c r="B66" s="3">
        <v>36892</v>
      </c>
      <c r="C66" t="s">
        <v>81</v>
      </c>
      <c r="E66" s="17">
        <v>100000</v>
      </c>
    </row>
    <row r="67" spans="1:5" x14ac:dyDescent="0.25">
      <c r="B67" s="3">
        <v>36923</v>
      </c>
      <c r="C67" t="s">
        <v>82</v>
      </c>
      <c r="E67" s="17">
        <v>36667</v>
      </c>
    </row>
    <row r="68" spans="1:5" x14ac:dyDescent="0.25">
      <c r="B68" s="3">
        <v>37043</v>
      </c>
      <c r="C68" t="s">
        <v>83</v>
      </c>
      <c r="E68" s="17">
        <v>46667</v>
      </c>
    </row>
    <row r="69" spans="1:5" x14ac:dyDescent="0.25">
      <c r="C69" t="s">
        <v>84</v>
      </c>
      <c r="E69" s="17">
        <f>SUM(E66:E68)</f>
        <v>183334</v>
      </c>
    </row>
    <row r="71" spans="1:5" x14ac:dyDescent="0.25">
      <c r="A71" s="1" t="s">
        <v>85</v>
      </c>
      <c r="B71" s="3">
        <v>36892</v>
      </c>
      <c r="C71" t="s">
        <v>86</v>
      </c>
      <c r="E71" s="17">
        <v>75000</v>
      </c>
    </row>
    <row r="72" spans="1:5" ht="17.25" x14ac:dyDescent="0.4">
      <c r="B72" s="3">
        <v>36982</v>
      </c>
      <c r="C72" t="s">
        <v>87</v>
      </c>
      <c r="E72" s="19">
        <f>(9/12)*24000</f>
        <v>18000</v>
      </c>
    </row>
    <row r="73" spans="1:5" x14ac:dyDescent="0.25">
      <c r="B73" s="3"/>
      <c r="E73" s="18">
        <f>SUM(E71:E72)</f>
        <v>93000</v>
      </c>
    </row>
    <row r="74" spans="1:5" ht="17.25" x14ac:dyDescent="0.4">
      <c r="B74" s="3">
        <v>37043</v>
      </c>
      <c r="C74" t="s">
        <v>88</v>
      </c>
      <c r="E74" s="20">
        <v>18600</v>
      </c>
    </row>
    <row r="75" spans="1:5" x14ac:dyDescent="0.25">
      <c r="C75" t="s">
        <v>84</v>
      </c>
      <c r="E75" s="21">
        <f>SUM(E73:E74)</f>
        <v>111600</v>
      </c>
    </row>
    <row r="77" spans="1:5" x14ac:dyDescent="0.25">
      <c r="A77" s="1" t="s">
        <v>92</v>
      </c>
    </row>
    <row r="78" spans="1:5" x14ac:dyDescent="0.25">
      <c r="A78" s="1" t="s">
        <v>89</v>
      </c>
    </row>
    <row r="79" spans="1:5" x14ac:dyDescent="0.25">
      <c r="A79" s="1" t="s">
        <v>90</v>
      </c>
    </row>
    <row r="80" spans="1:5" x14ac:dyDescent="0.25">
      <c r="A80" s="1" t="s">
        <v>91</v>
      </c>
    </row>
  </sheetData>
  <mergeCells count="9">
    <mergeCell ref="A2:D2"/>
    <mergeCell ref="A1:B1"/>
    <mergeCell ref="D57:G57"/>
    <mergeCell ref="D58:G58"/>
    <mergeCell ref="C64:D64"/>
    <mergeCell ref="C63:D63"/>
    <mergeCell ref="C62:D62"/>
    <mergeCell ref="C61:D61"/>
    <mergeCell ref="C60:D60"/>
  </mergeCell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164"/>
  <sheetViews>
    <sheetView tabSelected="1" workbookViewId="0">
      <selection activeCell="F22" sqref="F22"/>
    </sheetView>
  </sheetViews>
  <sheetFormatPr defaultRowHeight="15" x14ac:dyDescent="0.25"/>
  <cols>
    <col min="1" max="1" width="8.140625" style="1" customWidth="1"/>
    <col min="2" max="2" width="11.85546875" customWidth="1"/>
    <col min="3" max="3" width="13.140625" customWidth="1"/>
    <col min="4" max="4" width="15.85546875" customWidth="1"/>
    <col min="5" max="5" width="17.140625" customWidth="1"/>
    <col min="6" max="6" width="14.28515625" bestFit="1" customWidth="1"/>
    <col min="7" max="7" width="14.85546875" customWidth="1"/>
    <col min="8" max="8" width="10.85546875" customWidth="1"/>
    <col min="9" max="9" width="17.140625" customWidth="1"/>
    <col min="10" max="10" width="13.28515625" customWidth="1"/>
    <col min="11" max="11" width="12.42578125" customWidth="1"/>
    <col min="12" max="12" width="11.5703125" customWidth="1"/>
    <col min="13" max="13" width="10.5703125" bestFit="1" customWidth="1"/>
  </cols>
  <sheetData>
    <row r="1" spans="1:7" x14ac:dyDescent="0.25">
      <c r="A1" s="1" t="s">
        <v>92</v>
      </c>
    </row>
    <row r="2" spans="1:7" x14ac:dyDescent="0.25">
      <c r="A2" s="1" t="s">
        <v>89</v>
      </c>
    </row>
    <row r="3" spans="1:7" x14ac:dyDescent="0.25">
      <c r="A3" s="1" t="s">
        <v>90</v>
      </c>
    </row>
    <row r="4" spans="1:7" x14ac:dyDescent="0.25">
      <c r="A4" s="46" t="s">
        <v>91</v>
      </c>
      <c r="B4" s="46"/>
      <c r="C4" s="46"/>
      <c r="D4" s="24"/>
    </row>
    <row r="6" spans="1:7" x14ac:dyDescent="0.25">
      <c r="A6" s="1" t="s">
        <v>93</v>
      </c>
      <c r="B6" s="26" t="s">
        <v>38</v>
      </c>
    </row>
    <row r="7" spans="1:7" x14ac:dyDescent="0.25">
      <c r="B7" s="56" t="s">
        <v>94</v>
      </c>
      <c r="C7" s="56"/>
      <c r="D7" s="2" t="s">
        <v>95</v>
      </c>
      <c r="E7" s="2" t="s">
        <v>96</v>
      </c>
      <c r="F7" s="2" t="s">
        <v>97</v>
      </c>
      <c r="G7" s="2" t="s">
        <v>98</v>
      </c>
    </row>
    <row r="8" spans="1:7" x14ac:dyDescent="0.25">
      <c r="B8" t="s">
        <v>99</v>
      </c>
      <c r="D8" s="5">
        <v>816000</v>
      </c>
      <c r="E8" s="23">
        <f>D8/$D$12</f>
        <v>0.48</v>
      </c>
      <c r="F8" s="5">
        <v>1575000</v>
      </c>
      <c r="G8" s="5">
        <f>F8*E8</f>
        <v>756000</v>
      </c>
    </row>
    <row r="9" spans="1:7" x14ac:dyDescent="0.25">
      <c r="B9" t="s">
        <v>100</v>
      </c>
      <c r="D9" s="5">
        <v>578000</v>
      </c>
      <c r="E9" s="23">
        <f t="shared" ref="E9:E12" si="0">D9/$D$12</f>
        <v>0.34</v>
      </c>
      <c r="F9" s="5">
        <v>1575000</v>
      </c>
      <c r="G9" s="5">
        <f t="shared" ref="G9:G11" si="1">F9*E9</f>
        <v>535500</v>
      </c>
    </row>
    <row r="10" spans="1:7" x14ac:dyDescent="0.25">
      <c r="B10" s="47" t="s">
        <v>101</v>
      </c>
      <c r="C10" s="47"/>
      <c r="D10" s="5">
        <v>85000</v>
      </c>
      <c r="E10" s="23">
        <f t="shared" si="0"/>
        <v>0.05</v>
      </c>
      <c r="F10" s="5">
        <v>1575000</v>
      </c>
      <c r="G10" s="5">
        <f t="shared" si="1"/>
        <v>78750</v>
      </c>
    </row>
    <row r="11" spans="1:7" ht="17.25" x14ac:dyDescent="0.4">
      <c r="B11" t="s">
        <v>102</v>
      </c>
      <c r="D11" s="14">
        <v>221000</v>
      </c>
      <c r="E11" s="40">
        <f t="shared" si="0"/>
        <v>0.13</v>
      </c>
      <c r="F11" s="14">
        <v>1575000</v>
      </c>
      <c r="G11" s="14">
        <f t="shared" si="1"/>
        <v>204750</v>
      </c>
    </row>
    <row r="12" spans="1:7" ht="17.25" x14ac:dyDescent="0.4">
      <c r="D12" s="5">
        <f>SUM(D8:D11)</f>
        <v>1700000</v>
      </c>
      <c r="E12" s="23">
        <f t="shared" si="0"/>
        <v>1</v>
      </c>
      <c r="G12" s="11">
        <f>SUM(G8:G11)</f>
        <v>1575000</v>
      </c>
    </row>
    <row r="14" spans="1:7" x14ac:dyDescent="0.25">
      <c r="B14" s="1" t="s">
        <v>103</v>
      </c>
    </row>
    <row r="15" spans="1:7" x14ac:dyDescent="0.25">
      <c r="B15" t="s">
        <v>99</v>
      </c>
      <c r="E15" s="25">
        <f>G8</f>
        <v>756000</v>
      </c>
    </row>
    <row r="16" spans="1:7" x14ac:dyDescent="0.25">
      <c r="B16" t="s">
        <v>100</v>
      </c>
      <c r="E16" s="25">
        <f t="shared" ref="E16:E18" si="2">G9</f>
        <v>535500</v>
      </c>
    </row>
    <row r="17" spans="2:7" x14ac:dyDescent="0.25">
      <c r="B17" t="s">
        <v>104</v>
      </c>
      <c r="E17" s="25">
        <f t="shared" si="2"/>
        <v>78750</v>
      </c>
    </row>
    <row r="18" spans="2:7" x14ac:dyDescent="0.25">
      <c r="B18" t="s">
        <v>102</v>
      </c>
      <c r="E18" s="25">
        <f t="shared" si="2"/>
        <v>204750</v>
      </c>
    </row>
    <row r="19" spans="2:7" x14ac:dyDescent="0.25">
      <c r="D19" t="s">
        <v>22</v>
      </c>
      <c r="F19" s="25">
        <f>G12</f>
        <v>1575000</v>
      </c>
    </row>
    <row r="21" spans="2:7" x14ac:dyDescent="0.25">
      <c r="B21" s="26" t="s">
        <v>33</v>
      </c>
    </row>
    <row r="22" spans="2:7" x14ac:dyDescent="0.25">
      <c r="B22" s="1" t="s">
        <v>117</v>
      </c>
    </row>
    <row r="23" spans="2:7" x14ac:dyDescent="0.25">
      <c r="B23" t="s">
        <v>119</v>
      </c>
      <c r="D23" s="5">
        <f>(E15-51300)/15</f>
        <v>46980</v>
      </c>
    </row>
    <row r="24" spans="2:7" x14ac:dyDescent="0.25">
      <c r="B24" t="s">
        <v>120</v>
      </c>
      <c r="D24" s="5">
        <f>D23/12</f>
        <v>3915</v>
      </c>
    </row>
    <row r="26" spans="2:7" x14ac:dyDescent="0.25">
      <c r="B26" s="2" t="s">
        <v>105</v>
      </c>
      <c r="C26" s="56" t="s">
        <v>106</v>
      </c>
      <c r="D26" s="56"/>
      <c r="E26" s="56" t="s">
        <v>118</v>
      </c>
      <c r="F26" s="56"/>
      <c r="G26" s="2" t="s">
        <v>107</v>
      </c>
    </row>
    <row r="27" spans="2:7" x14ac:dyDescent="0.25">
      <c r="B27" t="s">
        <v>108</v>
      </c>
      <c r="C27" s="52">
        <f>$D$24</f>
        <v>3915</v>
      </c>
      <c r="D27" s="52"/>
      <c r="E27" s="50">
        <f>C27</f>
        <v>3915</v>
      </c>
      <c r="F27" s="50"/>
      <c r="G27" s="25">
        <f>$E$15-E27</f>
        <v>752085</v>
      </c>
    </row>
    <row r="28" spans="2:7" x14ac:dyDescent="0.25">
      <c r="B28" t="s">
        <v>109</v>
      </c>
      <c r="C28" s="52">
        <f t="shared" ref="C28:C35" si="3">$D$24</f>
        <v>3915</v>
      </c>
      <c r="D28" s="52"/>
      <c r="E28" s="50">
        <f t="shared" ref="E28:E35" si="4">C28+E27</f>
        <v>7830</v>
      </c>
      <c r="F28" s="50"/>
      <c r="G28" s="25">
        <f t="shared" ref="G28:G36" si="5">$E$15-E28</f>
        <v>748170</v>
      </c>
    </row>
    <row r="29" spans="2:7" x14ac:dyDescent="0.25">
      <c r="B29" t="s">
        <v>110</v>
      </c>
      <c r="C29" s="52">
        <f t="shared" si="3"/>
        <v>3915</v>
      </c>
      <c r="D29" s="52"/>
      <c r="E29" s="50">
        <f t="shared" si="4"/>
        <v>11745</v>
      </c>
      <c r="F29" s="50"/>
      <c r="G29" s="25">
        <f t="shared" si="5"/>
        <v>744255</v>
      </c>
    </row>
    <row r="30" spans="2:7" x14ac:dyDescent="0.25">
      <c r="B30" t="s">
        <v>111</v>
      </c>
      <c r="C30" s="52">
        <f t="shared" si="3"/>
        <v>3915</v>
      </c>
      <c r="D30" s="52"/>
      <c r="E30" s="50">
        <f t="shared" si="4"/>
        <v>15660</v>
      </c>
      <c r="F30" s="50"/>
      <c r="G30" s="25">
        <f t="shared" si="5"/>
        <v>740340</v>
      </c>
    </row>
    <row r="31" spans="2:7" x14ac:dyDescent="0.25">
      <c r="B31" t="s">
        <v>112</v>
      </c>
      <c r="C31" s="52">
        <f t="shared" si="3"/>
        <v>3915</v>
      </c>
      <c r="D31" s="52"/>
      <c r="E31" s="50">
        <f t="shared" si="4"/>
        <v>19575</v>
      </c>
      <c r="F31" s="50"/>
      <c r="G31" s="25">
        <f t="shared" si="5"/>
        <v>736425</v>
      </c>
    </row>
    <row r="32" spans="2:7" x14ac:dyDescent="0.25">
      <c r="B32" t="s">
        <v>113</v>
      </c>
      <c r="C32" s="52">
        <f t="shared" si="3"/>
        <v>3915</v>
      </c>
      <c r="D32" s="52"/>
      <c r="E32" s="50">
        <f t="shared" si="4"/>
        <v>23490</v>
      </c>
      <c r="F32" s="50"/>
      <c r="G32" s="25">
        <f t="shared" si="5"/>
        <v>732510</v>
      </c>
    </row>
    <row r="33" spans="2:7" x14ac:dyDescent="0.25">
      <c r="B33" t="s">
        <v>114</v>
      </c>
      <c r="C33" s="52">
        <f t="shared" si="3"/>
        <v>3915</v>
      </c>
      <c r="D33" s="52"/>
      <c r="E33" s="50">
        <f t="shared" si="4"/>
        <v>27405</v>
      </c>
      <c r="F33" s="50"/>
      <c r="G33" s="25">
        <f t="shared" si="5"/>
        <v>728595</v>
      </c>
    </row>
    <row r="34" spans="2:7" x14ac:dyDescent="0.25">
      <c r="B34" t="s">
        <v>115</v>
      </c>
      <c r="C34" s="52">
        <f t="shared" si="3"/>
        <v>3915</v>
      </c>
      <c r="D34" s="52"/>
      <c r="E34" s="50">
        <f t="shared" si="4"/>
        <v>31320</v>
      </c>
      <c r="F34" s="50"/>
      <c r="G34" s="25">
        <f t="shared" si="5"/>
        <v>724680</v>
      </c>
    </row>
    <row r="35" spans="2:7" x14ac:dyDescent="0.25">
      <c r="B35" t="s">
        <v>121</v>
      </c>
      <c r="C35" s="52">
        <f t="shared" si="3"/>
        <v>3915</v>
      </c>
      <c r="D35" s="52"/>
      <c r="E35" s="50">
        <f t="shared" si="4"/>
        <v>35235</v>
      </c>
      <c r="F35" s="50"/>
      <c r="G35" s="25">
        <f t="shared" si="5"/>
        <v>720765</v>
      </c>
    </row>
    <row r="36" spans="2:7" ht="15.75" thickBot="1" x14ac:dyDescent="0.3">
      <c r="B36" t="s">
        <v>116</v>
      </c>
      <c r="C36" s="55">
        <f>C35</f>
        <v>3915</v>
      </c>
      <c r="D36" s="47"/>
      <c r="E36" s="53">
        <f>E35+C35</f>
        <v>39150</v>
      </c>
      <c r="F36" s="53"/>
      <c r="G36" s="25">
        <f t="shared" si="5"/>
        <v>716850</v>
      </c>
    </row>
    <row r="37" spans="2:7" ht="15.75" thickTop="1" x14ac:dyDescent="0.25">
      <c r="G37" s="25"/>
    </row>
    <row r="38" spans="2:7" x14ac:dyDescent="0.25">
      <c r="B38" s="26" t="s">
        <v>122</v>
      </c>
    </row>
    <row r="39" spans="2:7" x14ac:dyDescent="0.25">
      <c r="B39" s="1" t="s">
        <v>123</v>
      </c>
    </row>
    <row r="40" spans="2:7" x14ac:dyDescent="0.25">
      <c r="B40" t="s">
        <v>119</v>
      </c>
      <c r="D40" s="5">
        <f>E17*(2/5)</f>
        <v>31500</v>
      </c>
    </row>
    <row r="41" spans="2:7" x14ac:dyDescent="0.25">
      <c r="B41" t="s">
        <v>120</v>
      </c>
      <c r="D41" s="5">
        <f>D40/12</f>
        <v>2625</v>
      </c>
    </row>
    <row r="43" spans="2:7" x14ac:dyDescent="0.25">
      <c r="B43" s="2" t="s">
        <v>105</v>
      </c>
      <c r="C43" s="56" t="s">
        <v>106</v>
      </c>
      <c r="D43" s="56"/>
      <c r="E43" s="56" t="s">
        <v>118</v>
      </c>
      <c r="F43" s="56"/>
      <c r="G43" s="2" t="s">
        <v>107</v>
      </c>
    </row>
    <row r="44" spans="2:7" x14ac:dyDescent="0.25">
      <c r="B44" t="s">
        <v>108</v>
      </c>
      <c r="C44" s="52">
        <f>$D$41</f>
        <v>2625</v>
      </c>
      <c r="D44" s="52"/>
      <c r="E44" s="50">
        <f>C44</f>
        <v>2625</v>
      </c>
      <c r="F44" s="50"/>
      <c r="G44" s="25">
        <f>$E$17-E44</f>
        <v>76125</v>
      </c>
    </row>
    <row r="45" spans="2:7" x14ac:dyDescent="0.25">
      <c r="B45" t="s">
        <v>109</v>
      </c>
      <c r="C45" s="52">
        <f t="shared" ref="C45:C53" si="6">$D$41</f>
        <v>2625</v>
      </c>
      <c r="D45" s="52"/>
      <c r="E45" s="50">
        <f t="shared" ref="E45:E52" si="7">C45+E44</f>
        <v>5250</v>
      </c>
      <c r="F45" s="50"/>
      <c r="G45" s="25">
        <f t="shared" ref="G45:G53" si="8">$E$17-E45</f>
        <v>73500</v>
      </c>
    </row>
    <row r="46" spans="2:7" x14ac:dyDescent="0.25">
      <c r="B46" t="s">
        <v>110</v>
      </c>
      <c r="C46" s="52">
        <f t="shared" si="6"/>
        <v>2625</v>
      </c>
      <c r="D46" s="52"/>
      <c r="E46" s="50">
        <f t="shared" si="7"/>
        <v>7875</v>
      </c>
      <c r="F46" s="50"/>
      <c r="G46" s="25">
        <f t="shared" si="8"/>
        <v>70875</v>
      </c>
    </row>
    <row r="47" spans="2:7" x14ac:dyDescent="0.25">
      <c r="B47" t="s">
        <v>111</v>
      </c>
      <c r="C47" s="52">
        <f t="shared" si="6"/>
        <v>2625</v>
      </c>
      <c r="D47" s="52"/>
      <c r="E47" s="50">
        <f t="shared" si="7"/>
        <v>10500</v>
      </c>
      <c r="F47" s="50"/>
      <c r="G47" s="25">
        <f t="shared" si="8"/>
        <v>68250</v>
      </c>
    </row>
    <row r="48" spans="2:7" x14ac:dyDescent="0.25">
      <c r="B48" t="s">
        <v>112</v>
      </c>
      <c r="C48" s="52">
        <f t="shared" si="6"/>
        <v>2625</v>
      </c>
      <c r="D48" s="52"/>
      <c r="E48" s="50">
        <f t="shared" si="7"/>
        <v>13125</v>
      </c>
      <c r="F48" s="50"/>
      <c r="G48" s="25">
        <f t="shared" si="8"/>
        <v>65625</v>
      </c>
    </row>
    <row r="49" spans="1:7" x14ac:dyDescent="0.25">
      <c r="B49" t="s">
        <v>113</v>
      </c>
      <c r="C49" s="52">
        <f t="shared" si="6"/>
        <v>2625</v>
      </c>
      <c r="D49" s="52"/>
      <c r="E49" s="50">
        <f t="shared" si="7"/>
        <v>15750</v>
      </c>
      <c r="F49" s="50"/>
      <c r="G49" s="25">
        <f t="shared" si="8"/>
        <v>63000</v>
      </c>
    </row>
    <row r="50" spans="1:7" x14ac:dyDescent="0.25">
      <c r="B50" t="s">
        <v>114</v>
      </c>
      <c r="C50" s="52">
        <f t="shared" si="6"/>
        <v>2625</v>
      </c>
      <c r="D50" s="52"/>
      <c r="E50" s="50">
        <f t="shared" si="7"/>
        <v>18375</v>
      </c>
      <c r="F50" s="50"/>
      <c r="G50" s="25">
        <f t="shared" si="8"/>
        <v>60375</v>
      </c>
    </row>
    <row r="51" spans="1:7" x14ac:dyDescent="0.25">
      <c r="B51" t="s">
        <v>115</v>
      </c>
      <c r="C51" s="52">
        <f t="shared" si="6"/>
        <v>2625</v>
      </c>
      <c r="D51" s="52"/>
      <c r="E51" s="50">
        <f t="shared" si="7"/>
        <v>21000</v>
      </c>
      <c r="F51" s="50"/>
      <c r="G51" s="25">
        <f t="shared" si="8"/>
        <v>57750</v>
      </c>
    </row>
    <row r="52" spans="1:7" x14ac:dyDescent="0.25">
      <c r="B52" t="s">
        <v>121</v>
      </c>
      <c r="C52" s="52">
        <f t="shared" si="6"/>
        <v>2625</v>
      </c>
      <c r="D52" s="52"/>
      <c r="E52" s="50">
        <f t="shared" si="7"/>
        <v>23625</v>
      </c>
      <c r="F52" s="50"/>
      <c r="G52" s="25">
        <f t="shared" si="8"/>
        <v>55125</v>
      </c>
    </row>
    <row r="53" spans="1:7" ht="15.75" thickBot="1" x14ac:dyDescent="0.3">
      <c r="B53" t="s">
        <v>116</v>
      </c>
      <c r="C53" s="52">
        <f t="shared" si="6"/>
        <v>2625</v>
      </c>
      <c r="D53" s="52"/>
      <c r="E53" s="53">
        <f>E52+C52</f>
        <v>26250</v>
      </c>
      <c r="F53" s="53"/>
      <c r="G53" s="25">
        <f t="shared" si="8"/>
        <v>52500</v>
      </c>
    </row>
    <row r="54" spans="1:7" ht="15.75" thickTop="1" x14ac:dyDescent="0.25">
      <c r="C54" s="27"/>
      <c r="D54" s="27"/>
      <c r="E54" s="38"/>
      <c r="F54" s="38"/>
      <c r="G54" s="25"/>
    </row>
    <row r="55" spans="1:7" x14ac:dyDescent="0.25">
      <c r="B55" s="26" t="s">
        <v>158</v>
      </c>
      <c r="C55" s="27"/>
      <c r="D55" s="27"/>
      <c r="E55" s="38"/>
      <c r="F55" s="38"/>
      <c r="G55" s="25"/>
    </row>
    <row r="56" spans="1:7" x14ac:dyDescent="0.25">
      <c r="B56" s="26"/>
      <c r="C56" s="27"/>
      <c r="D56" s="27"/>
      <c r="E56" s="38"/>
      <c r="F56" s="38"/>
      <c r="G56" s="25"/>
    </row>
    <row r="57" spans="1:7" x14ac:dyDescent="0.25">
      <c r="A57" s="1" t="s">
        <v>124</v>
      </c>
      <c r="B57" s="26" t="s">
        <v>38</v>
      </c>
      <c r="G57" s="25"/>
    </row>
    <row r="58" spans="1:7" x14ac:dyDescent="0.25">
      <c r="A58"/>
      <c r="B58" t="s">
        <v>169</v>
      </c>
      <c r="G58" s="25"/>
    </row>
    <row r="59" spans="1:7" x14ac:dyDescent="0.25">
      <c r="A59"/>
      <c r="B59" s="42" t="s">
        <v>98</v>
      </c>
      <c r="C59" s="5">
        <v>3860</v>
      </c>
      <c r="E59" s="22" t="s">
        <v>98</v>
      </c>
      <c r="F59" s="5">
        <v>3860</v>
      </c>
      <c r="G59" s="25"/>
    </row>
    <row r="60" spans="1:7" x14ac:dyDescent="0.25">
      <c r="A60"/>
      <c r="B60" t="s">
        <v>159</v>
      </c>
      <c r="C60" s="39">
        <v>500</v>
      </c>
      <c r="E60" t="s">
        <v>165</v>
      </c>
      <c r="F60" s="39">
        <v>1344</v>
      </c>
      <c r="G60" s="25"/>
    </row>
    <row r="61" spans="1:7" x14ac:dyDescent="0.25">
      <c r="A61"/>
      <c r="B61" t="s">
        <v>175</v>
      </c>
      <c r="C61" s="5">
        <v>3360</v>
      </c>
      <c r="E61" t="s">
        <v>170</v>
      </c>
      <c r="F61" s="5">
        <v>2516</v>
      </c>
      <c r="G61" s="25"/>
    </row>
    <row r="62" spans="1:7" x14ac:dyDescent="0.25">
      <c r="A62"/>
      <c r="C62" s="33" t="s">
        <v>161</v>
      </c>
      <c r="E62" t="s">
        <v>172</v>
      </c>
      <c r="F62" s="39">
        <v>0</v>
      </c>
      <c r="G62" s="25"/>
    </row>
    <row r="63" spans="1:7" x14ac:dyDescent="0.25">
      <c r="A63"/>
      <c r="B63" t="s">
        <v>162</v>
      </c>
      <c r="C63" t="s">
        <v>163</v>
      </c>
      <c r="E63" t="s">
        <v>171</v>
      </c>
      <c r="F63" s="5">
        <v>2516</v>
      </c>
      <c r="G63" s="25"/>
    </row>
    <row r="64" spans="1:7" x14ac:dyDescent="0.25">
      <c r="A64"/>
      <c r="C64" s="33" t="s">
        <v>164</v>
      </c>
      <c r="G64" s="25"/>
    </row>
    <row r="65" spans="1:7" x14ac:dyDescent="0.25">
      <c r="A65"/>
      <c r="B65" t="s">
        <v>165</v>
      </c>
      <c r="C65" s="5">
        <v>1344</v>
      </c>
      <c r="G65" s="25"/>
    </row>
    <row r="66" spans="1:7" x14ac:dyDescent="0.25">
      <c r="A66"/>
      <c r="G66" s="25"/>
    </row>
    <row r="67" spans="1:7" x14ac:dyDescent="0.25">
      <c r="A67"/>
      <c r="B67" s="1" t="s">
        <v>103</v>
      </c>
      <c r="G67" s="25"/>
    </row>
    <row r="68" spans="1:7" x14ac:dyDescent="0.25">
      <c r="A68"/>
      <c r="B68" t="s">
        <v>166</v>
      </c>
      <c r="D68" s="5">
        <v>5200</v>
      </c>
      <c r="E68" s="5"/>
      <c r="G68" s="25"/>
    </row>
    <row r="69" spans="1:7" x14ac:dyDescent="0.25">
      <c r="A69"/>
      <c r="B69" t="s">
        <v>165</v>
      </c>
      <c r="D69" s="5">
        <v>1344</v>
      </c>
      <c r="E69" s="5"/>
      <c r="G69" s="25"/>
    </row>
    <row r="70" spans="1:7" x14ac:dyDescent="0.25">
      <c r="A70"/>
      <c r="B70" t="s">
        <v>167</v>
      </c>
      <c r="D70" s="5">
        <v>2516</v>
      </c>
      <c r="E70" s="5"/>
      <c r="G70" s="25"/>
    </row>
    <row r="71" spans="1:7" x14ac:dyDescent="0.25">
      <c r="A71"/>
      <c r="C71" t="s">
        <v>22</v>
      </c>
      <c r="D71" s="5"/>
      <c r="E71" s="5">
        <v>5200</v>
      </c>
      <c r="G71" s="25"/>
    </row>
    <row r="72" spans="1:7" x14ac:dyDescent="0.25">
      <c r="A72"/>
      <c r="C72" t="s">
        <v>168</v>
      </c>
      <c r="D72" s="5"/>
      <c r="E72" s="5">
        <v>3860</v>
      </c>
      <c r="G72" s="25"/>
    </row>
    <row r="73" spans="1:7" x14ac:dyDescent="0.25">
      <c r="A73"/>
      <c r="G73" s="25"/>
    </row>
    <row r="74" spans="1:7" x14ac:dyDescent="0.25">
      <c r="A74"/>
      <c r="B74" s="26" t="s">
        <v>33</v>
      </c>
      <c r="G74" s="25"/>
    </row>
    <row r="75" spans="1:7" x14ac:dyDescent="0.25">
      <c r="A75"/>
      <c r="B75" s="4" t="s">
        <v>173</v>
      </c>
      <c r="G75" s="25"/>
    </row>
    <row r="76" spans="1:7" x14ac:dyDescent="0.25">
      <c r="A76"/>
      <c r="B76" t="s">
        <v>174</v>
      </c>
      <c r="G76" s="25"/>
    </row>
    <row r="77" spans="1:7" x14ac:dyDescent="0.25">
      <c r="A77"/>
      <c r="G77" s="25"/>
    </row>
    <row r="78" spans="1:7" x14ac:dyDescent="0.25">
      <c r="A78"/>
      <c r="B78" t="s">
        <v>98</v>
      </c>
      <c r="C78" s="5">
        <v>22000</v>
      </c>
      <c r="G78" s="25"/>
    </row>
    <row r="79" spans="1:7" x14ac:dyDescent="0.25">
      <c r="A79"/>
      <c r="B79" t="s">
        <v>165</v>
      </c>
      <c r="C79" s="39">
        <v>-2400</v>
      </c>
      <c r="G79" s="25"/>
    </row>
    <row r="80" spans="1:7" x14ac:dyDescent="0.25">
      <c r="A80"/>
      <c r="B80" t="s">
        <v>160</v>
      </c>
      <c r="C80" s="5">
        <v>19600</v>
      </c>
      <c r="G80" s="25"/>
    </row>
    <row r="81" spans="1:7" x14ac:dyDescent="0.25">
      <c r="A81"/>
      <c r="B81" t="s">
        <v>176</v>
      </c>
      <c r="C81" s="39">
        <v>-4300</v>
      </c>
      <c r="G81" s="25"/>
    </row>
    <row r="82" spans="1:7" x14ac:dyDescent="0.25">
      <c r="A82"/>
      <c r="B82" t="s">
        <v>177</v>
      </c>
      <c r="C82" s="5">
        <v>15300</v>
      </c>
      <c r="G82" s="25"/>
    </row>
    <row r="83" spans="1:7" x14ac:dyDescent="0.25">
      <c r="A83"/>
      <c r="B83" t="s">
        <v>178</v>
      </c>
      <c r="C83" s="16" t="s">
        <v>179</v>
      </c>
      <c r="G83" s="25"/>
    </row>
    <row r="84" spans="1:7" ht="15.75" thickBot="1" x14ac:dyDescent="0.3">
      <c r="A84"/>
      <c r="B84" t="s">
        <v>180</v>
      </c>
      <c r="C84" s="44">
        <v>850</v>
      </c>
      <c r="G84" s="25"/>
    </row>
    <row r="85" spans="1:7" ht="15.75" thickTop="1" x14ac:dyDescent="0.25">
      <c r="A85"/>
      <c r="G85" s="25"/>
    </row>
    <row r="86" spans="1:7" x14ac:dyDescent="0.25">
      <c r="A86"/>
      <c r="B86" s="4" t="s">
        <v>181</v>
      </c>
      <c r="G86" s="25"/>
    </row>
    <row r="87" spans="1:7" x14ac:dyDescent="0.25">
      <c r="A87"/>
      <c r="B87" t="s">
        <v>182</v>
      </c>
      <c r="G87" s="25"/>
    </row>
    <row r="88" spans="1:7" x14ac:dyDescent="0.25">
      <c r="B88" s="26"/>
      <c r="C88" s="27"/>
      <c r="D88" s="27"/>
      <c r="E88" s="38"/>
      <c r="F88" s="38"/>
      <c r="G88" s="25"/>
    </row>
    <row r="89" spans="1:7" x14ac:dyDescent="0.25">
      <c r="B89" s="2" t="s">
        <v>26</v>
      </c>
      <c r="C89" s="2" t="s">
        <v>186</v>
      </c>
      <c r="D89" s="2" t="s">
        <v>187</v>
      </c>
      <c r="E89" s="2" t="s">
        <v>188</v>
      </c>
      <c r="F89" s="38"/>
      <c r="G89" s="25"/>
    </row>
    <row r="90" spans="1:7" x14ac:dyDescent="0.25">
      <c r="B90" t="s">
        <v>183</v>
      </c>
      <c r="C90" s="5">
        <v>13000</v>
      </c>
      <c r="D90" s="5">
        <v>2600</v>
      </c>
      <c r="E90" s="5">
        <f>C90-D90</f>
        <v>10400</v>
      </c>
      <c r="F90" s="38"/>
      <c r="G90" s="25"/>
    </row>
    <row r="91" spans="1:7" x14ac:dyDescent="0.25">
      <c r="B91" t="s">
        <v>184</v>
      </c>
      <c r="C91" s="5">
        <f>E90</f>
        <v>10400</v>
      </c>
      <c r="D91" s="5">
        <f>C91*0.2</f>
        <v>2080</v>
      </c>
      <c r="E91" s="5">
        <f t="shared" ref="E91:E92" si="9">C91-D91</f>
        <v>8320</v>
      </c>
      <c r="F91" s="38"/>
      <c r="G91" s="25"/>
    </row>
    <row r="92" spans="1:7" x14ac:dyDescent="0.25">
      <c r="B92" t="s">
        <v>185</v>
      </c>
      <c r="C92" s="5">
        <f>E91</f>
        <v>8320</v>
      </c>
      <c r="D92" s="43">
        <f>C92*0.2</f>
        <v>1664</v>
      </c>
      <c r="E92" s="5">
        <f t="shared" si="9"/>
        <v>6656</v>
      </c>
      <c r="F92" s="38"/>
      <c r="G92" s="25"/>
    </row>
    <row r="93" spans="1:7" x14ac:dyDescent="0.25">
      <c r="F93" s="38"/>
      <c r="G93" s="25"/>
    </row>
    <row r="94" spans="1:7" x14ac:dyDescent="0.25">
      <c r="B94" s="4" t="s">
        <v>189</v>
      </c>
      <c r="F94" s="38"/>
      <c r="G94" s="25"/>
    </row>
    <row r="95" spans="1:7" x14ac:dyDescent="0.25">
      <c r="B95" t="s">
        <v>190</v>
      </c>
      <c r="F95" s="38"/>
      <c r="G95" s="25"/>
    </row>
    <row r="96" spans="1:7" x14ac:dyDescent="0.25">
      <c r="F96" s="38"/>
      <c r="G96" s="25"/>
    </row>
    <row r="97" spans="1:7" x14ac:dyDescent="0.25">
      <c r="B97" s="4" t="s">
        <v>29</v>
      </c>
      <c r="F97" s="38"/>
      <c r="G97" s="25"/>
    </row>
    <row r="98" spans="1:7" x14ac:dyDescent="0.25">
      <c r="B98" s="25">
        <f>C84+D92+940</f>
        <v>3454</v>
      </c>
      <c r="F98" s="38"/>
      <c r="G98" s="25"/>
    </row>
    <row r="100" spans="1:7" x14ac:dyDescent="0.25">
      <c r="A100" s="1" t="s">
        <v>125</v>
      </c>
      <c r="B100" s="26" t="s">
        <v>38</v>
      </c>
    </row>
    <row r="101" spans="1:7" x14ac:dyDescent="0.25">
      <c r="B101" s="3">
        <v>38353</v>
      </c>
      <c r="C101" t="s">
        <v>19</v>
      </c>
      <c r="F101" s="5">
        <f>4*20000</f>
        <v>80000</v>
      </c>
      <c r="G101" s="5"/>
    </row>
    <row r="102" spans="1:7" x14ac:dyDescent="0.25">
      <c r="D102" t="s">
        <v>126</v>
      </c>
      <c r="F102" s="5"/>
      <c r="G102" s="5">
        <f>F101</f>
        <v>80000</v>
      </c>
    </row>
    <row r="103" spans="1:7" x14ac:dyDescent="0.25">
      <c r="B103" s="3">
        <v>38384</v>
      </c>
      <c r="C103" t="s">
        <v>126</v>
      </c>
      <c r="F103" s="5">
        <f>F101</f>
        <v>80000</v>
      </c>
      <c r="G103" s="5"/>
    </row>
    <row r="104" spans="1:7" x14ac:dyDescent="0.25">
      <c r="D104" t="s">
        <v>22</v>
      </c>
      <c r="F104" s="5"/>
      <c r="G104" s="5">
        <f>F103</f>
        <v>80000</v>
      </c>
    </row>
    <row r="105" spans="1:7" x14ac:dyDescent="0.25">
      <c r="B105" s="3">
        <v>38899</v>
      </c>
      <c r="C105" t="s">
        <v>22</v>
      </c>
      <c r="F105" s="5">
        <f>750*48</f>
        <v>36000</v>
      </c>
      <c r="G105" s="5"/>
    </row>
    <row r="106" spans="1:7" x14ac:dyDescent="0.25">
      <c r="D106" t="s">
        <v>43</v>
      </c>
      <c r="F106" s="5"/>
      <c r="G106" s="5">
        <f>F105</f>
        <v>36000</v>
      </c>
    </row>
    <row r="107" spans="1:7" x14ac:dyDescent="0.25">
      <c r="B107" s="3">
        <v>44774</v>
      </c>
      <c r="C107" t="s">
        <v>22</v>
      </c>
      <c r="F107" s="5">
        <f>1250*34</f>
        <v>42500</v>
      </c>
      <c r="G107" s="5"/>
    </row>
    <row r="108" spans="1:7" x14ac:dyDescent="0.25">
      <c r="D108" t="s">
        <v>43</v>
      </c>
      <c r="F108" s="5"/>
      <c r="G108" s="5">
        <f>F107</f>
        <v>42500</v>
      </c>
    </row>
    <row r="109" spans="1:7" x14ac:dyDescent="0.25">
      <c r="B109" s="3">
        <v>38596</v>
      </c>
      <c r="C109" t="s">
        <v>19</v>
      </c>
      <c r="F109" s="5">
        <f>(20000+750+1250)*4</f>
        <v>88000</v>
      </c>
      <c r="G109" s="5"/>
    </row>
    <row r="110" spans="1:7" x14ac:dyDescent="0.25">
      <c r="D110" t="s">
        <v>126</v>
      </c>
      <c r="F110" s="5"/>
      <c r="G110" s="5">
        <f>F109</f>
        <v>88000</v>
      </c>
    </row>
    <row r="111" spans="1:7" x14ac:dyDescent="0.25">
      <c r="B111" s="3">
        <v>47027</v>
      </c>
      <c r="C111" t="s">
        <v>126</v>
      </c>
      <c r="F111" s="5">
        <f>F109</f>
        <v>88000</v>
      </c>
      <c r="G111" s="5"/>
    </row>
    <row r="112" spans="1:7" x14ac:dyDescent="0.25">
      <c r="D112" t="s">
        <v>22</v>
      </c>
      <c r="F112" s="5"/>
      <c r="G112" s="5">
        <f>F111</f>
        <v>88000</v>
      </c>
    </row>
    <row r="113" spans="2:12" x14ac:dyDescent="0.25">
      <c r="B113" s="3">
        <v>11658</v>
      </c>
      <c r="C113" t="s">
        <v>44</v>
      </c>
      <c r="F113" s="5">
        <f>434000</f>
        <v>434000</v>
      </c>
      <c r="G113" s="5"/>
    </row>
    <row r="114" spans="2:12" x14ac:dyDescent="0.25">
      <c r="D114" t="s">
        <v>21</v>
      </c>
      <c r="F114" s="5"/>
      <c r="G114" s="5">
        <f>434000</f>
        <v>434000</v>
      </c>
      <c r="I114" s="25"/>
    </row>
    <row r="115" spans="2:12" x14ac:dyDescent="0.25">
      <c r="B115" s="3">
        <v>11658</v>
      </c>
      <c r="C115" t="s">
        <v>21</v>
      </c>
      <c r="F115" s="5">
        <f>F101+F109</f>
        <v>168000</v>
      </c>
      <c r="G115" s="5"/>
      <c r="I115" s="25"/>
    </row>
    <row r="116" spans="2:12" x14ac:dyDescent="0.25">
      <c r="D116" t="s">
        <v>19</v>
      </c>
      <c r="F116" s="5"/>
      <c r="G116" s="5">
        <f>F115</f>
        <v>168000</v>
      </c>
      <c r="I116" s="25"/>
    </row>
    <row r="118" spans="2:12" x14ac:dyDescent="0.25">
      <c r="B118" s="26" t="s">
        <v>33</v>
      </c>
    </row>
    <row r="119" spans="2:12" x14ac:dyDescent="0.25">
      <c r="B119" s="1" t="s">
        <v>129</v>
      </c>
      <c r="J119" t="s">
        <v>43</v>
      </c>
      <c r="K119" t="s">
        <v>21</v>
      </c>
      <c r="L119" t="s">
        <v>50</v>
      </c>
    </row>
    <row r="120" spans="2:12" x14ac:dyDescent="0.25">
      <c r="B120" t="s">
        <v>130</v>
      </c>
      <c r="F120" s="5">
        <v>270000</v>
      </c>
      <c r="H120" t="s">
        <v>156</v>
      </c>
      <c r="J120">
        <v>460000</v>
      </c>
      <c r="K120">
        <v>270000</v>
      </c>
      <c r="L120">
        <f>SUM(J120:K120)</f>
        <v>730000</v>
      </c>
    </row>
    <row r="121" spans="2:12" ht="17.25" x14ac:dyDescent="0.4">
      <c r="B121" t="s">
        <v>131</v>
      </c>
      <c r="C121" t="s">
        <v>132</v>
      </c>
      <c r="F121" s="30">
        <f>G114</f>
        <v>434000</v>
      </c>
      <c r="H121" t="s">
        <v>157</v>
      </c>
      <c r="J121" s="4">
        <v>78500</v>
      </c>
      <c r="L121">
        <f t="shared" ref="L121:L123" si="10">SUM(J121:K121)</f>
        <v>78500</v>
      </c>
    </row>
    <row r="122" spans="2:12" x14ac:dyDescent="0.25">
      <c r="F122" s="25">
        <f>F121+F120</f>
        <v>704000</v>
      </c>
      <c r="H122" t="s">
        <v>136</v>
      </c>
      <c r="K122">
        <v>434000</v>
      </c>
      <c r="L122">
        <f t="shared" si="10"/>
        <v>434000</v>
      </c>
    </row>
    <row r="123" spans="2:12" ht="17.25" x14ac:dyDescent="0.4">
      <c r="B123" t="s">
        <v>133</v>
      </c>
      <c r="C123" t="s">
        <v>19</v>
      </c>
      <c r="F123" s="30">
        <f>F101+F109</f>
        <v>168000</v>
      </c>
      <c r="H123" t="s">
        <v>2</v>
      </c>
      <c r="K123" s="4">
        <v>-168000</v>
      </c>
      <c r="L123" s="4">
        <f t="shared" si="10"/>
        <v>-168000</v>
      </c>
    </row>
    <row r="124" spans="2:12" ht="18" thickBot="1" x14ac:dyDescent="0.45">
      <c r="B124" t="s">
        <v>134</v>
      </c>
      <c r="F124" s="29">
        <f>F122-F123</f>
        <v>536000</v>
      </c>
      <c r="H124" t="s">
        <v>141</v>
      </c>
      <c r="J124" s="41">
        <f>SUM(J120:J123)</f>
        <v>538500</v>
      </c>
      <c r="K124" s="41">
        <f t="shared" ref="K124:L124" si="11">SUM(K120:K123)</f>
        <v>536000</v>
      </c>
      <c r="L124" s="41">
        <f t="shared" si="11"/>
        <v>1074500</v>
      </c>
    </row>
    <row r="125" spans="2:12" ht="15.75" thickTop="1" x14ac:dyDescent="0.25"/>
    <row r="126" spans="2:12" x14ac:dyDescent="0.25">
      <c r="B126" s="26" t="s">
        <v>122</v>
      </c>
    </row>
    <row r="127" spans="2:12" x14ac:dyDescent="0.25">
      <c r="B127" s="1" t="s">
        <v>128</v>
      </c>
    </row>
    <row r="128" spans="2:12" x14ac:dyDescent="0.25">
      <c r="B128" t="s">
        <v>66</v>
      </c>
    </row>
    <row r="129" spans="1:12" x14ac:dyDescent="0.25">
      <c r="C129" t="s">
        <v>43</v>
      </c>
      <c r="E129" s="5"/>
    </row>
    <row r="130" spans="1:12" x14ac:dyDescent="0.25">
      <c r="C130" t="s">
        <v>127</v>
      </c>
      <c r="E130" s="5"/>
      <c r="F130" s="25">
        <f>460000+G106+G108</f>
        <v>538500</v>
      </c>
    </row>
    <row r="131" spans="1:12" ht="17.25" x14ac:dyDescent="0.4">
      <c r="B131" t="s">
        <v>21</v>
      </c>
      <c r="E131" s="5"/>
      <c r="F131" s="28">
        <f>G114+270000-G116</f>
        <v>536000</v>
      </c>
    </row>
    <row r="132" spans="1:12" ht="17.25" x14ac:dyDescent="0.4">
      <c r="B132" t="s">
        <v>50</v>
      </c>
      <c r="E132" s="5"/>
      <c r="F132" s="29">
        <f>F130+F131</f>
        <v>1074500</v>
      </c>
    </row>
    <row r="134" spans="1:12" x14ac:dyDescent="0.25">
      <c r="A134" s="1" t="s">
        <v>135</v>
      </c>
      <c r="B134" s="26" t="s">
        <v>137</v>
      </c>
    </row>
    <row r="135" spans="1:12" x14ac:dyDescent="0.25">
      <c r="D135" t="s">
        <v>43</v>
      </c>
      <c r="E135" t="s">
        <v>21</v>
      </c>
      <c r="F135" t="s">
        <v>50</v>
      </c>
    </row>
    <row r="136" spans="1:12" x14ac:dyDescent="0.25">
      <c r="B136" t="s">
        <v>140</v>
      </c>
      <c r="D136" s="5">
        <v>680000</v>
      </c>
      <c r="E136" s="5">
        <v>94000</v>
      </c>
      <c r="F136" s="5">
        <f>SUM(D136:E137)</f>
        <v>844000</v>
      </c>
    </row>
    <row r="137" spans="1:12" x14ac:dyDescent="0.25">
      <c r="B137" t="s">
        <v>139</v>
      </c>
      <c r="D137" s="5">
        <v>70000</v>
      </c>
      <c r="F137" s="5">
        <v>70000</v>
      </c>
    </row>
    <row r="138" spans="1:12" x14ac:dyDescent="0.25">
      <c r="B138" t="s">
        <v>136</v>
      </c>
      <c r="E138" s="5">
        <v>104000</v>
      </c>
      <c r="F138" s="5">
        <v>104000</v>
      </c>
    </row>
    <row r="139" spans="1:12" x14ac:dyDescent="0.25">
      <c r="B139" t="s">
        <v>2</v>
      </c>
      <c r="D139" s="4"/>
      <c r="E139" s="12">
        <v>-70000</v>
      </c>
      <c r="F139" s="12">
        <v>-70000</v>
      </c>
    </row>
    <row r="140" spans="1:12" x14ac:dyDescent="0.25">
      <c r="B140" t="s">
        <v>141</v>
      </c>
      <c r="D140" s="13">
        <f>SUM(D136:D139)</f>
        <v>750000</v>
      </c>
      <c r="E140" s="13">
        <f t="shared" ref="E140" si="12">SUM(E136:E139)</f>
        <v>128000</v>
      </c>
      <c r="F140" s="13">
        <f>SUM(D140:E140)</f>
        <v>878000</v>
      </c>
    </row>
    <row r="141" spans="1:12" x14ac:dyDescent="0.25">
      <c r="D141" s="13"/>
      <c r="E141" s="13"/>
      <c r="F141" s="13"/>
      <c r="L141" s="45"/>
    </row>
    <row r="142" spans="1:12" x14ac:dyDescent="0.25">
      <c r="B142" s="1" t="s">
        <v>145</v>
      </c>
      <c r="L142" s="45"/>
    </row>
    <row r="143" spans="1:12" x14ac:dyDescent="0.25">
      <c r="D143" t="s">
        <v>11</v>
      </c>
      <c r="G143" s="31" t="s">
        <v>143</v>
      </c>
      <c r="L143" s="45"/>
    </row>
    <row r="144" spans="1:12" x14ac:dyDescent="0.25">
      <c r="D144" t="s">
        <v>43</v>
      </c>
      <c r="G144" s="32" t="s">
        <v>143</v>
      </c>
      <c r="L144" s="45"/>
    </row>
    <row r="145" spans="1:12" x14ac:dyDescent="0.25">
      <c r="D145" t="s">
        <v>49</v>
      </c>
      <c r="G145" t="s">
        <v>143</v>
      </c>
      <c r="L145" s="45"/>
    </row>
    <row r="146" spans="1:12" x14ac:dyDescent="0.25">
      <c r="D146" t="s">
        <v>21</v>
      </c>
      <c r="G146" s="33" t="s">
        <v>143</v>
      </c>
      <c r="L146" s="45"/>
    </row>
    <row r="147" spans="1:12" ht="15.75" thickBot="1" x14ac:dyDescent="0.3">
      <c r="D147" t="s">
        <v>142</v>
      </c>
      <c r="G147" s="34">
        <v>878000</v>
      </c>
      <c r="L147" s="45"/>
    </row>
    <row r="148" spans="1:12" ht="15.75" thickTop="1" x14ac:dyDescent="0.25"/>
    <row r="149" spans="1:12" x14ac:dyDescent="0.25">
      <c r="B149" s="26" t="s">
        <v>138</v>
      </c>
    </row>
    <row r="150" spans="1:12" x14ac:dyDescent="0.25">
      <c r="B150" s="5">
        <f>128000-60000</f>
        <v>68000</v>
      </c>
    </row>
    <row r="152" spans="1:12" x14ac:dyDescent="0.25">
      <c r="A152" s="1" t="s">
        <v>144</v>
      </c>
      <c r="B152" s="26" t="s">
        <v>38</v>
      </c>
    </row>
    <row r="153" spans="1:12" x14ac:dyDescent="0.25">
      <c r="B153" t="s">
        <v>146</v>
      </c>
    </row>
    <row r="154" spans="1:12" x14ac:dyDescent="0.25">
      <c r="B154" t="s">
        <v>147</v>
      </c>
      <c r="D154" s="54" t="s">
        <v>148</v>
      </c>
      <c r="E154" s="54"/>
    </row>
    <row r="155" spans="1:12" x14ac:dyDescent="0.25">
      <c r="D155" s="49" t="s">
        <v>149</v>
      </c>
      <c r="E155" s="49"/>
    </row>
    <row r="156" spans="1:12" x14ac:dyDescent="0.25">
      <c r="C156" s="16" t="s">
        <v>150</v>
      </c>
      <c r="D156" s="35" t="s">
        <v>151</v>
      </c>
    </row>
    <row r="157" spans="1:12" x14ac:dyDescent="0.25">
      <c r="D157" s="15">
        <v>146000</v>
      </c>
    </row>
    <row r="158" spans="1:12" x14ac:dyDescent="0.25">
      <c r="C158" s="16" t="s">
        <v>150</v>
      </c>
      <c r="D158" s="36">
        <v>2.64</v>
      </c>
    </row>
    <row r="159" spans="1:12" x14ac:dyDescent="0.25">
      <c r="C159" s="16"/>
      <c r="D159" s="36"/>
    </row>
    <row r="160" spans="1:12" x14ac:dyDescent="0.25">
      <c r="B160" s="26" t="s">
        <v>33</v>
      </c>
    </row>
    <row r="161" spans="2:3" x14ac:dyDescent="0.25">
      <c r="B161" t="s">
        <v>152</v>
      </c>
    </row>
    <row r="163" spans="2:3" x14ac:dyDescent="0.25">
      <c r="B163" s="16" t="s">
        <v>155</v>
      </c>
      <c r="C163" s="37" t="s">
        <v>153</v>
      </c>
    </row>
    <row r="164" spans="2:3" x14ac:dyDescent="0.25">
      <c r="C164" s="15" t="s">
        <v>154</v>
      </c>
    </row>
  </sheetData>
  <mergeCells count="49">
    <mergeCell ref="E26:F26"/>
    <mergeCell ref="C30:D30"/>
    <mergeCell ref="B10:C10"/>
    <mergeCell ref="B7:C7"/>
    <mergeCell ref="A4:C4"/>
    <mergeCell ref="C26:D26"/>
    <mergeCell ref="C35:D35"/>
    <mergeCell ref="C34:D34"/>
    <mergeCell ref="C33:D33"/>
    <mergeCell ref="C32:D32"/>
    <mergeCell ref="C31:D31"/>
    <mergeCell ref="E28:F28"/>
    <mergeCell ref="E27:F27"/>
    <mergeCell ref="C36:D36"/>
    <mergeCell ref="E36:F36"/>
    <mergeCell ref="C43:D43"/>
    <mergeCell ref="E43:F43"/>
    <mergeCell ref="C29:D29"/>
    <mergeCell ref="C28:D28"/>
    <mergeCell ref="C27:D27"/>
    <mergeCell ref="E35:F35"/>
    <mergeCell ref="E34:F34"/>
    <mergeCell ref="E33:F33"/>
    <mergeCell ref="E32:F32"/>
    <mergeCell ref="E31:F31"/>
    <mergeCell ref="E30:F30"/>
    <mergeCell ref="E29:F29"/>
    <mergeCell ref="C44:D44"/>
    <mergeCell ref="E44:F44"/>
    <mergeCell ref="C45:D45"/>
    <mergeCell ref="E45:F45"/>
    <mergeCell ref="C46:D46"/>
    <mergeCell ref="E46:F46"/>
    <mergeCell ref="C47:D47"/>
    <mergeCell ref="E47:F47"/>
    <mergeCell ref="C48:D48"/>
    <mergeCell ref="E48:F48"/>
    <mergeCell ref="C49:D49"/>
    <mergeCell ref="E49:F49"/>
    <mergeCell ref="C53:D53"/>
    <mergeCell ref="E53:F53"/>
    <mergeCell ref="D155:E155"/>
    <mergeCell ref="D154:E154"/>
    <mergeCell ref="C50:D50"/>
    <mergeCell ref="E50:F50"/>
    <mergeCell ref="C51:D51"/>
    <mergeCell ref="E51:F51"/>
    <mergeCell ref="C52:D52"/>
    <mergeCell ref="E52:F52"/>
  </mergeCells>
  <pageMargins left="0.7" right="0.7" top="0.75" bottom="0.75" header="0.3" footer="0.3"/>
  <pageSetup scale="46"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March 26 </vt:lpstr>
      <vt:lpstr>March 28</vt:lpstr>
      <vt:lpstr>April 1- Review</vt:lpstr>
    </vt:vector>
  </TitlesOfParts>
  <Company>Hewlett-Packard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Owner</dc:creator>
  <cp:lastModifiedBy>Owner</cp:lastModifiedBy>
  <cp:lastPrinted>2013-04-02T13:20:48Z</cp:lastPrinted>
  <dcterms:created xsi:type="dcterms:W3CDTF">2013-03-26T12:03:48Z</dcterms:created>
  <dcterms:modified xsi:type="dcterms:W3CDTF">2013-04-03T03:58:47Z</dcterms:modified>
</cp:coreProperties>
</file>